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65521" yWindow="65521" windowWidth="19320" windowHeight="14415" firstSheet="1" activeTab="1"/>
  </bookViews>
  <sheets>
    <sheet name="Rechnen" sheetId="1" state="hidden" r:id="rId1"/>
    <sheet name="Formular" sheetId="2" r:id="rId2"/>
  </sheets>
  <definedNames>
    <definedName name="_xlnm.Print_Area" localSheetId="1">'Formular'!$A$1:$P$72</definedName>
    <definedName name="I_L1">'Rechnen'!$C$13</definedName>
    <definedName name="I_L2">'Rechnen'!$C$14</definedName>
    <definedName name="I_L3">'Rechnen'!$C$15</definedName>
    <definedName name="I_Null">'Rechnen'!$C$16</definedName>
    <definedName name="Stoffwerte">'Rechnen'!$R$4:$S$5</definedName>
    <definedName name="Summe_EEG">'Rechnen'!$E$6</definedName>
    <definedName name="U_HAK">'Rechnen'!$E$5</definedName>
    <definedName name="U_Null">'Rechnen'!$E$3</definedName>
    <definedName name="Wert_1">'Rechnen'!$G$13</definedName>
    <definedName name="Wert_10">'Rechnen'!$C$66</definedName>
    <definedName name="Wert_11">'Rechnen'!$G$74</definedName>
    <definedName name="Wert_12">'Rechnen'!$C$77</definedName>
    <definedName name="Wert_13">'Rechnen'!$G$30</definedName>
    <definedName name="Wert_14">'Rechnen'!$C$39</definedName>
    <definedName name="Wert_15">'Rechnen'!$G$31</definedName>
    <definedName name="Wert_16">'Rechnen'!$C$40</definedName>
    <definedName name="Wert_17">'Rechnen'!$G$32</definedName>
    <definedName name="Wert_18">'Rechnen'!$C$41</definedName>
    <definedName name="Wert_2">'Rechnen'!$C$20</definedName>
    <definedName name="Wert_3">'Rechnen'!$G$14</definedName>
    <definedName name="Wert_4">'Rechnen'!$C$21</definedName>
    <definedName name="Wert_5">'Rechnen'!$G$15</definedName>
    <definedName name="Wert_6">'Rechnen'!$C$22</definedName>
    <definedName name="Wert_7">'Rechnen'!$G$53</definedName>
    <definedName name="Wert_8">'Rechnen'!$C$56</definedName>
    <definedName name="Wert_9">'Rechnen'!$G$63</definedName>
    <definedName name="Winkel_L1">'Rechnen'!$K$13</definedName>
    <definedName name="Winkel_L2">'Rechnen'!$K$14</definedName>
    <definedName name="Winkel_L3">'Rechnen'!$K$15</definedName>
    <definedName name="Winkel_Null">'Rechnen'!$K$16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<sst xmlns="http://schemas.openxmlformats.org/spreadsheetml/2006/main" count="307" uniqueCount="97">
  <si>
    <t>V</t>
  </si>
  <si>
    <t>Länge 1</t>
  </si>
  <si>
    <t>mm²</t>
  </si>
  <si>
    <t>m</t>
  </si>
  <si>
    <t>Ohm</t>
  </si>
  <si>
    <t>Länge 2</t>
  </si>
  <si>
    <t>Länge 3</t>
  </si>
  <si>
    <t>Länge 4</t>
  </si>
  <si>
    <t>Länge 5</t>
  </si>
  <si>
    <t>Nur Für Anlagen mit cos = 1</t>
  </si>
  <si>
    <t>Spannungshub zwischen Hausanschlusskasten und Spannungsüberwachung</t>
  </si>
  <si>
    <t>Länge 6</t>
  </si>
  <si>
    <t>Länge 7</t>
  </si>
  <si>
    <t>Länge 8</t>
  </si>
  <si>
    <t>Länge 9</t>
  </si>
  <si>
    <t>Länge 10</t>
  </si>
  <si>
    <t>Aluminium</t>
  </si>
  <si>
    <t>P</t>
  </si>
  <si>
    <t>I</t>
  </si>
  <si>
    <t>=</t>
  </si>
  <si>
    <t>/</t>
  </si>
  <si>
    <t>U</t>
  </si>
  <si>
    <t>L1</t>
  </si>
  <si>
    <t>L2</t>
  </si>
  <si>
    <t>L3</t>
  </si>
  <si>
    <t>Strom im Außenleiter</t>
  </si>
  <si>
    <t>dU</t>
  </si>
  <si>
    <t>R (Lx)</t>
  </si>
  <si>
    <t>X</t>
  </si>
  <si>
    <t>I (Lx)</t>
  </si>
  <si>
    <t>Kupfer</t>
  </si>
  <si>
    <t>Spannungsänderung an den Außenleitern</t>
  </si>
  <si>
    <t>Dreiphasige Leitungen (vom Hausanschluss über den Zählerplatz bis zur Verteilung bei den Wechselrichtern)</t>
  </si>
  <si>
    <t>Zweiphasigen Leitungen (von der dreiphaisgen Verteilung zu den Wechselrichtern)</t>
  </si>
  <si>
    <t>Y</t>
  </si>
  <si>
    <t>°</t>
  </si>
  <si>
    <t>N</t>
  </si>
  <si>
    <t>Widerstand eines Außeleiters</t>
  </si>
  <si>
    <t>cos</t>
  </si>
  <si>
    <t>sin</t>
  </si>
  <si>
    <t>Nennspannung</t>
  </si>
  <si>
    <t>Maximale erhöhung am HAK</t>
  </si>
  <si>
    <t>%</t>
  </si>
  <si>
    <t>Maximale Spannung am HAK</t>
  </si>
  <si>
    <t>°N - °L</t>
  </si>
  <si>
    <t>U N1</t>
  </si>
  <si>
    <t>U N2</t>
  </si>
  <si>
    <t>UHAK</t>
  </si>
  <si>
    <t>U - N</t>
  </si>
  <si>
    <t>Widerstand beider Null und Außenleiter L1</t>
  </si>
  <si>
    <t>Widerstand beider Null und Außenleiter L2</t>
  </si>
  <si>
    <t>Widerstand beider Null und Außenleiter L3</t>
  </si>
  <si>
    <t>Pv</t>
  </si>
  <si>
    <t>PV=</t>
  </si>
  <si>
    <t>° neu</t>
  </si>
  <si>
    <t>U Teil_1</t>
  </si>
  <si>
    <t>Dreiphasige Leitungen (von der Verteilung bis zu den Wechselrichtern)</t>
  </si>
  <si>
    <t>HAK</t>
  </si>
  <si>
    <t>Zählerplatz</t>
  </si>
  <si>
    <t>Verteilung</t>
  </si>
  <si>
    <t>Prüfung</t>
  </si>
  <si>
    <t>m/Ohm/mm²</t>
  </si>
  <si>
    <t>Wechselrichter einphasig</t>
  </si>
  <si>
    <t>dreiphasige Leitungen</t>
  </si>
  <si>
    <t>Einphasiger Wechselrichter an L1</t>
  </si>
  <si>
    <t>Einphasiger Wechselrichter an L2</t>
  </si>
  <si>
    <t>Einphasiger Wechselrichter an L3</t>
  </si>
  <si>
    <t>Summe Wirkwiderstand je Leiter in Ohm</t>
  </si>
  <si>
    <t>L1   L2    L3</t>
  </si>
  <si>
    <t>Länge ...</t>
  </si>
  <si>
    <t>Länge 11</t>
  </si>
  <si>
    <t>Länge 12</t>
  </si>
  <si>
    <t>Länge 13</t>
  </si>
  <si>
    <t>Länge 14</t>
  </si>
  <si>
    <t>Länge 15</t>
  </si>
  <si>
    <t>Länge 16.1</t>
  </si>
  <si>
    <t>Länge 17.1</t>
  </si>
  <si>
    <t>Länge 18.1</t>
  </si>
  <si>
    <t>Länge 16.2</t>
  </si>
  <si>
    <t>Länge 17.2</t>
  </si>
  <si>
    <t>Länge 18.3</t>
  </si>
  <si>
    <t>Länge 18.2</t>
  </si>
  <si>
    <t>Länge 17.3</t>
  </si>
  <si>
    <t>Länge 16.3</t>
  </si>
  <si>
    <t>L1 gegen Null</t>
  </si>
  <si>
    <t>L2 gegen Null</t>
  </si>
  <si>
    <t>L3 gegen Null</t>
  </si>
  <si>
    <t>P max Wechselrichter</t>
  </si>
  <si>
    <t>Schieflast</t>
  </si>
  <si>
    <t>Eingabeformular zur Berechnung der Spannungserhöhung</t>
  </si>
  <si>
    <t xml:space="preserve"> im Kundennetz für EEG Anlagen &lt; 30 kW ohne übergeordneten Schutz</t>
  </si>
  <si>
    <t>Wechselr.</t>
  </si>
  <si>
    <t>einphasig</t>
  </si>
  <si>
    <t>dreiphasig</t>
  </si>
  <si>
    <t>Summe Leistung</t>
  </si>
  <si>
    <t>Die Ergebnisse befinden sich in den grünen Feldern. Nur die gelben Felder können geändert werden.</t>
  </si>
  <si>
    <t>Version 0.3 vom 28.06.2011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</si>
</sst>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"/>
    <numFmt numFmtId="175" formatCode="0.0000"/>
    <numFmt numFmtId="176" formatCode="0.000"/>
    <numFmt numFmtId="177" formatCode="0.0"/>
    <numFmt numFmtId="178" formatCode="_-* #,##0.00\ &quot;kW&quot;"/>
    <numFmt numFmtId="179" formatCode="0.0\ \V"/>
    <numFmt numFmtId="180" formatCode="0.00\ &quot;Ohm&quot;"/>
    <numFmt numFmtId="181" formatCode="0.0\ \A"/>
    <numFmt numFmtId="182" formatCode="0.000000"/>
    <numFmt numFmtId="183" formatCode="0.0000000"/>
    <numFmt numFmtId="184" formatCode="0.00\ &quot;V&quot;"/>
    <numFmt numFmtId="185" formatCode="_-* #,##0.000\ _€_-;\-* #,##0.000\ _€_-;_-* &quot;-&quot;???\ _€_-;_-@_-"/>
    <numFmt numFmtId="186" formatCode="0.0\ &quot;V&quot;"/>
    <numFmt numFmtId="187" formatCode="0.000000000"/>
    <numFmt numFmtId="188" formatCode="0.00000000"/>
    <numFmt numFmtId="189" formatCode="_-* #,##0.0\ &quot;kW&quot;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49">
    <font>
      <sz val="11"/>
      <name val="DIN-Regular"/>
      <family val="0"/>
    </font>
    <font>
      <b/>
      <sz val="11"/>
      <name val="DIN-Regular"/>
      <family val="2"/>
    </font>
    <font>
      <b/>
      <sz val="15"/>
      <name val="DIN-Regular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sz val="14"/>
      <name val="DIN-Medium"/>
      <family val="2"/>
    </font>
    <font>
      <sz val="11"/>
      <name val="DIN-Medium"/>
      <family val="2"/>
    </font>
    <font>
      <b/>
      <sz val="13"/>
      <color indexed="10"/>
      <name val="DIN-Regular"/>
      <family val="2"/>
    </font>
    <font>
      <i/>
      <sz val="11"/>
      <name val="DIN-Regular"/>
      <family val="2"/>
    </font>
    <font>
      <sz val="11"/>
      <color indexed="9"/>
      <name val="DIN-Regular"/>
      <family val="2"/>
    </font>
    <font>
      <sz val="7.5"/>
      <name val="DIN-Medium"/>
      <family val="2"/>
    </font>
    <font>
      <sz val="10"/>
      <name val="DIN-Regular"/>
      <family val="2"/>
    </font>
    <font>
      <b/>
      <sz val="10"/>
      <color indexed="10"/>
      <name val="DIN-Regular"/>
      <family val="2"/>
    </font>
    <font>
      <sz val="9"/>
      <name val="EnBW DIN Pro Mediu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3">
    <xf numFmtId="0" fontId="0" fillId="0" borderId="0" xfId="0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 quotePrefix="1">
      <alignment horizontal="center"/>
      <protection hidden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1" fillId="0" borderId="0" xfId="0" applyNumberFormat="1" applyFont="1" applyAlignment="1">
      <alignment/>
    </xf>
    <xf numFmtId="0" fontId="4" fillId="0" borderId="10" xfId="0" applyFont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1" fontId="0" fillId="0" borderId="10" xfId="0" applyNumberFormat="1" applyBorder="1" applyAlignment="1" applyProtection="1">
      <alignment horizontal="right"/>
      <protection hidden="1"/>
    </xf>
    <xf numFmtId="1" fontId="0" fillId="33" borderId="10" xfId="0" applyNumberFormat="1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 horizontal="right"/>
      <protection hidden="1"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5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1" fillId="34" borderId="10" xfId="0" applyNumberFormat="1" applyFont="1" applyFill="1" applyBorder="1" applyAlignment="1">
      <alignment/>
    </xf>
    <xf numFmtId="178" fontId="0" fillId="0" borderId="10" xfId="0" applyNumberFormat="1" applyFill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 applyProtection="1">
      <alignment horizontal="center"/>
      <protection hidden="1"/>
    </xf>
    <xf numFmtId="177" fontId="0" fillId="35" borderId="10" xfId="0" applyNumberFormat="1" applyFill="1" applyBorder="1" applyAlignment="1">
      <alignment/>
    </xf>
    <xf numFmtId="177" fontId="0" fillId="0" borderId="19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1" fillId="36" borderId="10" xfId="0" applyNumberFormat="1" applyFont="1" applyFill="1" applyBorder="1" applyAlignment="1">
      <alignment/>
    </xf>
    <xf numFmtId="177" fontId="0" fillId="0" borderId="10" xfId="0" applyNumberFormat="1" applyBorder="1" applyAlignment="1">
      <alignment/>
    </xf>
    <xf numFmtId="177" fontId="1" fillId="36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8" fontId="0" fillId="37" borderId="10" xfId="0" applyNumberFormat="1" applyFill="1" applyBorder="1" applyAlignment="1" applyProtection="1">
      <alignment/>
      <protection locked="0"/>
    </xf>
    <xf numFmtId="175" fontId="0" fillId="0" borderId="10" xfId="0" applyNumberFormat="1" applyBorder="1" applyAlignment="1">
      <alignment/>
    </xf>
    <xf numFmtId="177" fontId="0" fillId="33" borderId="10" xfId="0" applyNumberFormat="1" applyFill="1" applyBorder="1" applyAlignment="1" applyProtection="1">
      <alignment/>
      <protection hidden="1"/>
    </xf>
    <xf numFmtId="177" fontId="0" fillId="0" borderId="10" xfId="0" applyNumberFormat="1" applyBorder="1" applyAlignment="1" applyProtection="1">
      <alignment/>
      <protection hidden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Border="1" applyAlignment="1">
      <alignment/>
    </xf>
    <xf numFmtId="0" fontId="5" fillId="0" borderId="23" xfId="0" applyFont="1" applyFill="1" applyBorder="1" applyAlignment="1" applyProtection="1">
      <alignment horizontal="left"/>
      <protection hidden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6" fontId="1" fillId="0" borderId="27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177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" fontId="0" fillId="0" borderId="0" xfId="0" applyNumberFormat="1" applyAlignment="1">
      <alignment horizontal="right"/>
    </xf>
    <xf numFmtId="189" fontId="0" fillId="37" borderId="10" xfId="0" applyNumberForma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9" fontId="0" fillId="38" borderId="0" xfId="49" applyFont="1" applyFill="1" applyAlignment="1">
      <alignment/>
    </xf>
    <xf numFmtId="189" fontId="0" fillId="0" borderId="10" xfId="0" applyNumberForma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178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78" fontId="0" fillId="37" borderId="19" xfId="0" applyNumberFormat="1" applyFill="1" applyBorder="1" applyAlignment="1" applyProtection="1">
      <alignment horizontal="center"/>
      <protection locked="0"/>
    </xf>
    <xf numFmtId="178" fontId="0" fillId="37" borderId="3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114300</xdr:rowOff>
    </xdr:from>
    <xdr:to>
      <xdr:col>11</xdr:col>
      <xdr:colOff>9525</xdr:colOff>
      <xdr:row>22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7658100" y="4438650"/>
          <a:ext cx="819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N-Regular"/>
              <a:ea typeface="DIN-Regular"/>
              <a:cs typeface="DIN-Regular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123825</xdr:rowOff>
    </xdr:from>
    <xdr:to>
      <xdr:col>11</xdr:col>
      <xdr:colOff>9525</xdr:colOff>
      <xdr:row>37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7658100" y="7305675"/>
          <a:ext cx="819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N-Regular"/>
              <a:ea typeface="DIN-Regular"/>
              <a:cs typeface="DIN-Regular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104775</xdr:colOff>
      <xdr:row>50</xdr:row>
      <xdr:rowOff>9525</xdr:rowOff>
    </xdr:to>
    <xdr:sp>
      <xdr:nvSpPr>
        <xdr:cNvPr id="3" name="Line 7"/>
        <xdr:cNvSpPr>
          <a:spLocks/>
        </xdr:cNvSpPr>
      </xdr:nvSpPr>
      <xdr:spPr>
        <a:xfrm flipH="1">
          <a:off x="7658100" y="7620000"/>
          <a:ext cx="9144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N-Regular"/>
              <a:ea typeface="DIN-Regular"/>
              <a:cs typeface="DIN-Regular"/>
            </a:rPr>
            <a:t/>
          </a:r>
        </a:p>
      </xdr:txBody>
    </xdr:sp>
    <xdr:clientData/>
  </xdr:twoCellAnchor>
  <xdr:twoCellAnchor>
    <xdr:from>
      <xdr:col>9</xdr:col>
      <xdr:colOff>771525</xdr:colOff>
      <xdr:row>39</xdr:row>
      <xdr:rowOff>9525</xdr:rowOff>
    </xdr:from>
    <xdr:to>
      <xdr:col>11</xdr:col>
      <xdr:colOff>495300</xdr:colOff>
      <xdr:row>60</xdr:row>
      <xdr:rowOff>9525</xdr:rowOff>
    </xdr:to>
    <xdr:sp>
      <xdr:nvSpPr>
        <xdr:cNvPr id="4" name="Line 8"/>
        <xdr:cNvSpPr>
          <a:spLocks/>
        </xdr:cNvSpPr>
      </xdr:nvSpPr>
      <xdr:spPr>
        <a:xfrm flipH="1">
          <a:off x="7629525" y="7629525"/>
          <a:ext cx="133350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N-Regular"/>
              <a:ea typeface="DIN-Regular"/>
              <a:cs typeface="DIN-Regular"/>
            </a:rPr>
            <a:t/>
          </a:r>
        </a:p>
      </xdr:txBody>
    </xdr:sp>
    <xdr:clientData/>
  </xdr:twoCellAnchor>
  <xdr:twoCellAnchor>
    <xdr:from>
      <xdr:col>9</xdr:col>
      <xdr:colOff>790575</xdr:colOff>
      <xdr:row>39</xdr:row>
      <xdr:rowOff>9525</xdr:rowOff>
    </xdr:from>
    <xdr:to>
      <xdr:col>12</xdr:col>
      <xdr:colOff>381000</xdr:colOff>
      <xdr:row>70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7648575" y="7629525"/>
          <a:ext cx="1724025" cy="603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N-Regular"/>
              <a:ea typeface="DIN-Regular"/>
              <a:cs typeface="DIN-Regular"/>
            </a:rPr>
            <a:t/>
          </a:r>
        </a:p>
      </xdr:txBody>
    </xdr:sp>
    <xdr:clientData/>
  </xdr:twoCellAnchor>
  <xdr:twoCellAnchor editAs="oneCell">
    <xdr:from>
      <xdr:col>10</xdr:col>
      <xdr:colOff>247650</xdr:colOff>
      <xdr:row>0</xdr:row>
      <xdr:rowOff>85725</xdr:rowOff>
    </xdr:from>
    <xdr:to>
      <xdr:col>14</xdr:col>
      <xdr:colOff>323850</xdr:colOff>
      <xdr:row>4</xdr:row>
      <xdr:rowOff>66675</xdr:rowOff>
    </xdr:to>
    <xdr:pic>
      <xdr:nvPicPr>
        <xdr:cNvPr id="6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5725"/>
          <a:ext cx="2286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80"/>
  <sheetViews>
    <sheetView workbookViewId="0" topLeftCell="A1">
      <selection activeCell="E6" sqref="E6"/>
    </sheetView>
  </sheetViews>
  <sheetFormatPr defaultColWidth="11.19921875" defaultRowHeight="14.25"/>
  <cols>
    <col min="2" max="2" width="6.59765625" style="0" customWidth="1"/>
    <col min="3" max="3" width="11.3984375" style="0" customWidth="1"/>
    <col min="4" max="4" width="7.19921875" style="0" customWidth="1"/>
    <col min="5" max="5" width="14.3984375" style="0" customWidth="1"/>
    <col min="6" max="6" width="5.69921875" style="0" customWidth="1"/>
    <col min="7" max="7" width="8.09765625" style="0" customWidth="1"/>
    <col min="8" max="8" width="10.5" style="0" bestFit="1" customWidth="1"/>
    <col min="9" max="9" width="8.3984375" style="0" customWidth="1"/>
    <col min="10" max="10" width="7.69921875" style="0" customWidth="1"/>
    <col min="11" max="11" width="9.69921875" style="0" customWidth="1"/>
    <col min="12" max="12" width="7.19921875" style="0" customWidth="1"/>
    <col min="13" max="13" width="13.69921875" style="0" customWidth="1"/>
    <col min="19" max="19" width="8.09765625" style="0" customWidth="1"/>
    <col min="20" max="20" width="8.19921875" style="0" customWidth="1"/>
  </cols>
  <sheetData>
    <row r="1" ht="20.25">
      <c r="A1" s="4" t="s">
        <v>10</v>
      </c>
    </row>
    <row r="2" ht="24.75" customHeight="1">
      <c r="A2" s="3" t="s">
        <v>9</v>
      </c>
    </row>
    <row r="3" spans="1:12" ht="30.75" customHeight="1">
      <c r="A3" s="5" t="s">
        <v>40</v>
      </c>
      <c r="E3" s="41">
        <v>230</v>
      </c>
      <c r="F3" t="s">
        <v>0</v>
      </c>
      <c r="G3" s="11"/>
      <c r="H3" s="3"/>
      <c r="I3" s="11"/>
      <c r="L3" s="3"/>
    </row>
    <row r="4" spans="1:19" ht="15">
      <c r="A4" t="s">
        <v>41</v>
      </c>
      <c r="E4">
        <v>10</v>
      </c>
      <c r="F4" t="s">
        <v>42</v>
      </c>
      <c r="R4" t="s">
        <v>16</v>
      </c>
      <c r="S4">
        <v>32.52</v>
      </c>
    </row>
    <row r="5" spans="1:19" ht="15">
      <c r="A5" t="s">
        <v>43</v>
      </c>
      <c r="E5" s="41">
        <f>U_Null*(1+E4/100)</f>
        <v>253.00000000000003</v>
      </c>
      <c r="F5" t="s">
        <v>0</v>
      </c>
      <c r="G5" s="11"/>
      <c r="H5" s="3"/>
      <c r="R5" t="s">
        <v>30</v>
      </c>
      <c r="S5">
        <v>55.25</v>
      </c>
    </row>
    <row r="6" spans="1:5" ht="15.75" thickBot="1">
      <c r="A6" t="s">
        <v>94</v>
      </c>
      <c r="E6" s="83">
        <f>SUM(E13:E15)</f>
        <v>0</v>
      </c>
    </row>
    <row r="7" spans="1:18" ht="15">
      <c r="A7" s="46" t="s">
        <v>32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1:18" ht="15">
      <c r="A8" s="4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50"/>
    </row>
    <row r="9" spans="1:18" ht="15">
      <c r="A9" s="49" t="s">
        <v>37</v>
      </c>
      <c r="B9" s="19"/>
      <c r="C9" s="19"/>
      <c r="D9" s="19"/>
      <c r="E9" s="51">
        <f>Formular!J20</f>
        <v>0</v>
      </c>
      <c r="F9" s="19" t="s">
        <v>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50"/>
    </row>
    <row r="10" spans="1:18" ht="15">
      <c r="A10" s="4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50"/>
    </row>
    <row r="11" spans="1:18" ht="15">
      <c r="A11" s="49" t="s">
        <v>25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50"/>
    </row>
    <row r="12" spans="1:18" ht="15">
      <c r="A12" s="49"/>
      <c r="B12" s="19"/>
      <c r="C12" s="6" t="s">
        <v>18</v>
      </c>
      <c r="D12" s="7" t="s">
        <v>19</v>
      </c>
      <c r="E12" s="6" t="s">
        <v>17</v>
      </c>
      <c r="F12" s="6" t="s">
        <v>20</v>
      </c>
      <c r="G12" s="34" t="s">
        <v>21</v>
      </c>
      <c r="H12" s="6" t="s">
        <v>52</v>
      </c>
      <c r="I12" s="19"/>
      <c r="J12" s="19"/>
      <c r="K12" s="12"/>
      <c r="L12" s="13"/>
      <c r="M12" s="14" t="s">
        <v>28</v>
      </c>
      <c r="N12" s="14" t="s">
        <v>34</v>
      </c>
      <c r="O12" s="19"/>
      <c r="P12" s="19"/>
      <c r="Q12" s="19"/>
      <c r="R12" s="50"/>
    </row>
    <row r="13" spans="1:20" ht="15">
      <c r="A13" s="49"/>
      <c r="B13" s="19" t="s">
        <v>22</v>
      </c>
      <c r="C13" s="39">
        <f>E13/G13*1000</f>
        <v>0</v>
      </c>
      <c r="D13" s="8"/>
      <c r="E13" s="32">
        <f>Q13+E30</f>
        <v>0</v>
      </c>
      <c r="F13" s="8"/>
      <c r="G13" s="36">
        <v>253</v>
      </c>
      <c r="H13" s="35">
        <f>I_L1^2*E20</f>
        <v>0</v>
      </c>
      <c r="I13" s="19"/>
      <c r="J13" s="19"/>
      <c r="K13" s="13">
        <v>0</v>
      </c>
      <c r="L13" s="13" t="s">
        <v>35</v>
      </c>
      <c r="M13" s="15">
        <f>I_L1*COS(Winkel_L1/180*PI())</f>
        <v>0</v>
      </c>
      <c r="N13" s="15">
        <f>SIN(Winkel_L1/180*PI())*I_L1</f>
        <v>0</v>
      </c>
      <c r="O13" s="19"/>
      <c r="P13" s="19"/>
      <c r="Q13" s="42">
        <f>Formular!H23/3+Formular!E22</f>
        <v>0</v>
      </c>
      <c r="R13" s="50"/>
      <c r="T13">
        <f>ROUND(ABS(Wert_1-Wert_2),1)</f>
        <v>0</v>
      </c>
    </row>
    <row r="14" spans="1:20" ht="15">
      <c r="A14" s="49"/>
      <c r="B14" s="19" t="s">
        <v>23</v>
      </c>
      <c r="C14" s="39">
        <f>E14/G14*1000</f>
        <v>0</v>
      </c>
      <c r="D14" s="8"/>
      <c r="E14" s="32">
        <f>Q14+E31</f>
        <v>0</v>
      </c>
      <c r="F14" s="8"/>
      <c r="G14" s="36">
        <v>253</v>
      </c>
      <c r="H14" s="35">
        <f>I_L2^2*E21</f>
        <v>0</v>
      </c>
      <c r="I14" s="19"/>
      <c r="J14" s="19"/>
      <c r="K14" s="13">
        <v>-120</v>
      </c>
      <c r="L14" s="13" t="s">
        <v>35</v>
      </c>
      <c r="M14" s="15">
        <f>I_L2*COS(Winkel_L2/180*PI())</f>
        <v>0</v>
      </c>
      <c r="N14" s="15">
        <f>SIN(Winkel_L2/180*PI())*I_L2</f>
        <v>0</v>
      </c>
      <c r="O14" s="19"/>
      <c r="P14" s="19"/>
      <c r="Q14" s="42">
        <f>Formular!H23/3+Formular!E23</f>
        <v>0</v>
      </c>
      <c r="R14" s="50"/>
      <c r="T14">
        <f>ROUND(ABS(Wert_3-Wert_4),1)</f>
        <v>0</v>
      </c>
    </row>
    <row r="15" spans="1:20" ht="15">
      <c r="A15" s="49"/>
      <c r="B15" s="19" t="s">
        <v>24</v>
      </c>
      <c r="C15" s="39">
        <f>E15/G15*1000</f>
        <v>0</v>
      </c>
      <c r="D15" s="8"/>
      <c r="E15" s="32">
        <f>Q15+E32</f>
        <v>0</v>
      </c>
      <c r="F15" s="8"/>
      <c r="G15" s="36">
        <v>253</v>
      </c>
      <c r="H15" s="35">
        <f>I_L3^2*E22</f>
        <v>0</v>
      </c>
      <c r="I15" s="19"/>
      <c r="J15" s="19"/>
      <c r="K15" s="13">
        <v>-240</v>
      </c>
      <c r="L15" s="13" t="s">
        <v>35</v>
      </c>
      <c r="M15" s="15">
        <f>I_L3*COS(Winkel_L3/180*PI())</f>
        <v>0</v>
      </c>
      <c r="N15" s="15">
        <f>SIN(Winkel_L3/180*PI())*I_L3</f>
        <v>0</v>
      </c>
      <c r="O15" s="19"/>
      <c r="P15" s="19"/>
      <c r="Q15" s="42">
        <f>Formular!H23/3+Formular!E24</f>
        <v>0</v>
      </c>
      <c r="R15" s="50"/>
      <c r="T15">
        <f>ROUND(ABS(Wert_5-Wert_6),1)</f>
        <v>0</v>
      </c>
    </row>
    <row r="16" spans="1:18" ht="15">
      <c r="A16" s="52"/>
      <c r="B16" s="19" t="s">
        <v>36</v>
      </c>
      <c r="C16" s="39">
        <f>SQRT(M16^2+N16^2)</f>
        <v>0</v>
      </c>
      <c r="D16" s="19"/>
      <c r="F16" s="19"/>
      <c r="G16" s="19"/>
      <c r="H16" s="35">
        <f>I_Null^2*E23</f>
        <v>0</v>
      </c>
      <c r="I16" s="19"/>
      <c r="J16" s="19"/>
      <c r="K16" s="17">
        <f>IF(M16+N16=0,0,ATAN2(M16,N16)*180/PI())</f>
        <v>0</v>
      </c>
      <c r="L16" s="13" t="s">
        <v>35</v>
      </c>
      <c r="M16" s="16">
        <f>SUM(M13:M15)</f>
        <v>0</v>
      </c>
      <c r="N16" s="16">
        <f>SUM(N13:N15)</f>
        <v>0</v>
      </c>
      <c r="O16" s="19"/>
      <c r="P16" s="19"/>
      <c r="Q16" s="19"/>
      <c r="R16" s="50"/>
    </row>
    <row r="17" spans="2:18" ht="15">
      <c r="B17" s="19"/>
      <c r="C17" s="19" t="s">
        <v>88</v>
      </c>
      <c r="E17" s="76">
        <f>MAX(E13:E15)-MIN(E13:E15)</f>
        <v>0</v>
      </c>
      <c r="F17" s="19"/>
      <c r="G17" s="19"/>
      <c r="H17" s="35">
        <f>SUM(H13:H16)</f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50"/>
    </row>
    <row r="18" spans="1:18" ht="15">
      <c r="A18" s="49" t="s">
        <v>31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50"/>
    </row>
    <row r="19" spans="1:18" ht="15">
      <c r="A19" s="49"/>
      <c r="B19" s="19"/>
      <c r="C19" s="6" t="s">
        <v>26</v>
      </c>
      <c r="D19" s="7"/>
      <c r="E19" s="6" t="s">
        <v>27</v>
      </c>
      <c r="F19" s="6" t="s">
        <v>28</v>
      </c>
      <c r="G19" s="6" t="s">
        <v>29</v>
      </c>
      <c r="H19" s="20" t="s">
        <v>35</v>
      </c>
      <c r="I19" s="8" t="s">
        <v>48</v>
      </c>
      <c r="J19" s="8" t="s">
        <v>47</v>
      </c>
      <c r="K19" s="8" t="s">
        <v>45</v>
      </c>
      <c r="L19" s="8" t="s">
        <v>46</v>
      </c>
      <c r="M19" s="13" t="s">
        <v>44</v>
      </c>
      <c r="N19" s="21" t="s">
        <v>38</v>
      </c>
      <c r="O19" s="21" t="s">
        <v>39</v>
      </c>
      <c r="P19" s="20" t="s">
        <v>54</v>
      </c>
      <c r="Q19" s="19"/>
      <c r="R19" s="50"/>
    </row>
    <row r="20" spans="1:18" ht="15">
      <c r="A20" s="49"/>
      <c r="B20" s="19" t="s">
        <v>22</v>
      </c>
      <c r="C20" s="37">
        <f>(E20*G20)+I20</f>
        <v>253.00000000000003</v>
      </c>
      <c r="D20" s="10"/>
      <c r="E20" s="9">
        <f>E9</f>
        <v>0</v>
      </c>
      <c r="F20" s="8"/>
      <c r="G20" s="39">
        <f>I_L1</f>
        <v>0</v>
      </c>
      <c r="H20" s="8">
        <f>K13</f>
        <v>0</v>
      </c>
      <c r="I20" s="8">
        <f>SQRT((J20+K20)^2+L20^2)</f>
        <v>253.00000000000003</v>
      </c>
      <c r="J20" s="8">
        <f>U_HAK</f>
        <v>253.00000000000003</v>
      </c>
      <c r="K20" s="8">
        <f>C23*N20</f>
        <v>0</v>
      </c>
      <c r="L20" s="8">
        <f>C23*O20</f>
        <v>0</v>
      </c>
      <c r="M20" s="39">
        <f>H23-H20</f>
        <v>0</v>
      </c>
      <c r="N20" s="43">
        <f>COS(M20/180*PI())</f>
        <v>1</v>
      </c>
      <c r="O20" s="43">
        <f>SIN(M20/180*PI())</f>
        <v>0</v>
      </c>
      <c r="P20" s="39">
        <f>IF(L20&lt;&gt;0,TAN(L20/(K20+J20))*180/PI()+H20,H20)</f>
        <v>0</v>
      </c>
      <c r="Q20" s="19"/>
      <c r="R20" s="50"/>
    </row>
    <row r="21" spans="1:18" ht="15">
      <c r="A21" s="49"/>
      <c r="B21" s="19" t="s">
        <v>23</v>
      </c>
      <c r="C21" s="37">
        <f>(E21*G21)+I21</f>
        <v>253.00000000000003</v>
      </c>
      <c r="D21" s="10"/>
      <c r="E21" s="9">
        <f>E20</f>
        <v>0</v>
      </c>
      <c r="F21" s="8"/>
      <c r="G21" s="39">
        <f>C14</f>
        <v>0</v>
      </c>
      <c r="H21" s="8">
        <f>K14</f>
        <v>-120</v>
      </c>
      <c r="I21" s="8">
        <f>SQRT((J21+K21)^2+L21^2)</f>
        <v>253.00000000000003</v>
      </c>
      <c r="J21" s="8">
        <f>U_HAK</f>
        <v>253.00000000000003</v>
      </c>
      <c r="K21" s="8">
        <f>C23*N21</f>
        <v>0</v>
      </c>
      <c r="L21" s="8">
        <f>C23*O21</f>
        <v>0</v>
      </c>
      <c r="M21" s="39">
        <f>H23-H21</f>
        <v>120</v>
      </c>
      <c r="N21" s="43">
        <f>COS(M21/180*PI())</f>
        <v>-0.4999999999999998</v>
      </c>
      <c r="O21" s="43">
        <f>SIN(M21/180*PI())</f>
        <v>0.8660254037844387</v>
      </c>
      <c r="P21" s="39">
        <f>IF(L21&lt;&gt;0,TAN(L21/(K21+J21))*180/PI()+H21,H21)</f>
        <v>-120</v>
      </c>
      <c r="Q21" s="19"/>
      <c r="R21" s="50"/>
    </row>
    <row r="22" spans="1:18" ht="15">
      <c r="A22" s="49"/>
      <c r="B22" s="19" t="s">
        <v>24</v>
      </c>
      <c r="C22" s="37">
        <f>(E22*G22)+I22</f>
        <v>253.00000000000003</v>
      </c>
      <c r="D22" s="10"/>
      <c r="E22" s="9">
        <f>E21</f>
        <v>0</v>
      </c>
      <c r="F22" s="8"/>
      <c r="G22" s="39">
        <f>C15</f>
        <v>0</v>
      </c>
      <c r="H22" s="8">
        <f>K15</f>
        <v>-240</v>
      </c>
      <c r="I22" s="8">
        <f>SQRT((J22+K22)^2+L22^2)</f>
        <v>253.00000000000003</v>
      </c>
      <c r="J22" s="8">
        <f>U_HAK</f>
        <v>253.00000000000003</v>
      </c>
      <c r="K22" s="8">
        <f>C23*N22</f>
        <v>0</v>
      </c>
      <c r="L22" s="8">
        <f>C23*O22</f>
        <v>0</v>
      </c>
      <c r="M22" s="39">
        <f>H23-H22</f>
        <v>240</v>
      </c>
      <c r="N22" s="43">
        <f>COS(M22/180*PI())</f>
        <v>-0.5000000000000004</v>
      </c>
      <c r="O22" s="43">
        <f>SIN(M22/180*PI())</f>
        <v>-0.8660254037844384</v>
      </c>
      <c r="P22" s="39">
        <f>IF(L22&lt;&gt;0,TAN(L22/(K22+J22))*180/PI()+H22,H22)</f>
        <v>-240</v>
      </c>
      <c r="Q22" s="19"/>
      <c r="R22" s="50"/>
    </row>
    <row r="23" spans="1:18" ht="15.75" thickBot="1">
      <c r="A23" s="53"/>
      <c r="B23" s="54" t="s">
        <v>36</v>
      </c>
      <c r="C23" s="55">
        <f>E23*G23</f>
        <v>0</v>
      </c>
      <c r="D23" s="56"/>
      <c r="E23" s="57">
        <f>E9</f>
        <v>0</v>
      </c>
      <c r="F23" s="58"/>
      <c r="G23" s="59">
        <f>C16</f>
        <v>0</v>
      </c>
      <c r="H23" s="58">
        <f>Winkel_Null</f>
        <v>0</v>
      </c>
      <c r="I23" s="54"/>
      <c r="J23" s="54"/>
      <c r="K23" s="54"/>
      <c r="L23" s="54"/>
      <c r="M23" s="54"/>
      <c r="N23" s="54"/>
      <c r="O23" s="54"/>
      <c r="P23" s="54"/>
      <c r="Q23" s="54"/>
      <c r="R23" s="60"/>
    </row>
    <row r="24" ht="15.75" thickBot="1"/>
    <row r="25" spans="1:18" ht="15">
      <c r="A25" s="46" t="s">
        <v>56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1:18" ht="15">
      <c r="A26" s="4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50"/>
    </row>
    <row r="27" spans="1:18" ht="15">
      <c r="A27" s="49" t="s">
        <v>37</v>
      </c>
      <c r="B27" s="19"/>
      <c r="C27" s="19"/>
      <c r="D27" s="19"/>
      <c r="E27" s="26">
        <f>Formular!J35</f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0"/>
    </row>
    <row r="28" spans="1:18" ht="15">
      <c r="A28" s="4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50"/>
    </row>
    <row r="29" spans="1:18" ht="15">
      <c r="A29" s="49"/>
      <c r="B29" s="19"/>
      <c r="C29" s="6" t="s">
        <v>18</v>
      </c>
      <c r="D29" s="7" t="s">
        <v>19</v>
      </c>
      <c r="E29" s="6" t="s">
        <v>17</v>
      </c>
      <c r="F29" s="6" t="s">
        <v>20</v>
      </c>
      <c r="G29" s="34" t="s">
        <v>21</v>
      </c>
      <c r="H29" s="6" t="s">
        <v>52</v>
      </c>
      <c r="I29" s="19"/>
      <c r="J29" s="19"/>
      <c r="K29" s="12"/>
      <c r="L29" s="13"/>
      <c r="M29" s="14" t="s">
        <v>28</v>
      </c>
      <c r="N29" s="14" t="s">
        <v>34</v>
      </c>
      <c r="O29" s="19"/>
      <c r="P29" s="19"/>
      <c r="Q29" s="19"/>
      <c r="R29" s="50"/>
    </row>
    <row r="30" spans="1:20" ht="15">
      <c r="A30" s="49"/>
      <c r="B30" s="19" t="s">
        <v>22</v>
      </c>
      <c r="C30" s="39">
        <f>E30/G30*1000</f>
        <v>0</v>
      </c>
      <c r="D30" s="8"/>
      <c r="E30" s="32">
        <f>Q30+E53</f>
        <v>0</v>
      </c>
      <c r="F30" s="8"/>
      <c r="G30" s="36">
        <v>253</v>
      </c>
      <c r="H30" s="35">
        <f>C30^2*E39</f>
        <v>0</v>
      </c>
      <c r="I30" s="19"/>
      <c r="J30" s="19"/>
      <c r="K30" s="44">
        <v>0</v>
      </c>
      <c r="L30" s="13" t="s">
        <v>35</v>
      </c>
      <c r="M30" s="15">
        <f>C30*COS(K30/180*PI())</f>
        <v>0</v>
      </c>
      <c r="N30" s="15">
        <f>SIN(K30/180*PI())*I_L1</f>
        <v>0</v>
      </c>
      <c r="O30" s="19"/>
      <c r="P30" s="19"/>
      <c r="Q30" s="42">
        <f>Formular!H38/3+Formular!E37</f>
        <v>0</v>
      </c>
      <c r="R30" s="50"/>
      <c r="T30">
        <f>ROUND(ABS(Wert_13-Wert_14),1)</f>
        <v>0</v>
      </c>
    </row>
    <row r="31" spans="1:20" ht="15">
      <c r="A31" s="49"/>
      <c r="B31" s="19" t="s">
        <v>23</v>
      </c>
      <c r="C31" s="39">
        <f>E31/G31*1000</f>
        <v>0</v>
      </c>
      <c r="D31" s="8"/>
      <c r="E31" s="32">
        <f>Q31+E63</f>
        <v>0</v>
      </c>
      <c r="F31" s="8"/>
      <c r="G31" s="36">
        <v>253</v>
      </c>
      <c r="H31" s="35">
        <f>C31^2*E40</f>
        <v>0</v>
      </c>
      <c r="I31" s="19"/>
      <c r="J31" s="19"/>
      <c r="K31" s="44">
        <f>P21-P20</f>
        <v>-120</v>
      </c>
      <c r="L31" s="13" t="s">
        <v>35</v>
      </c>
      <c r="M31" s="15">
        <f>C31*COS(K31/180*PI())</f>
        <v>0</v>
      </c>
      <c r="N31" s="15">
        <f>SIN(K31/180*PI())*I_L1</f>
        <v>0</v>
      </c>
      <c r="O31" s="19"/>
      <c r="P31" s="19"/>
      <c r="Q31" s="42">
        <f>Formular!H38/3+Formular!E38</f>
        <v>0</v>
      </c>
      <c r="R31" s="50"/>
      <c r="T31">
        <f>ROUND(ABS(Wert_15-Wert_16),1)</f>
        <v>0</v>
      </c>
    </row>
    <row r="32" spans="1:20" ht="15">
      <c r="A32" s="49"/>
      <c r="B32" s="19" t="s">
        <v>24</v>
      </c>
      <c r="C32" s="39">
        <f>E32/G32*1000</f>
        <v>0</v>
      </c>
      <c r="D32" s="8"/>
      <c r="E32" s="32">
        <f>Q32+E74</f>
        <v>0</v>
      </c>
      <c r="F32" s="8"/>
      <c r="G32" s="36">
        <v>253</v>
      </c>
      <c r="H32" s="35">
        <f>C32^2*E41</f>
        <v>0</v>
      </c>
      <c r="I32" s="19"/>
      <c r="J32" s="19"/>
      <c r="K32" s="44">
        <f>P22-P20</f>
        <v>-240</v>
      </c>
      <c r="L32" s="13" t="s">
        <v>35</v>
      </c>
      <c r="M32" s="15">
        <f>C32*COS(K32/180*PI())</f>
        <v>0</v>
      </c>
      <c r="N32" s="15">
        <f>SIN(K32/180*PI())*I_L1</f>
        <v>0</v>
      </c>
      <c r="O32" s="19"/>
      <c r="P32" s="19"/>
      <c r="Q32" s="42">
        <f>Formular!H38/3+Formular!E39</f>
        <v>0</v>
      </c>
      <c r="R32" s="50"/>
      <c r="T32">
        <f>ROUND(ABS(Wert_17-Wert_18),1)</f>
        <v>0</v>
      </c>
    </row>
    <row r="33" spans="1:18" ht="15">
      <c r="A33" s="49"/>
      <c r="B33" s="19" t="s">
        <v>36</v>
      </c>
      <c r="C33" s="39">
        <f>SQRT(M33^2+N33^2)</f>
        <v>0</v>
      </c>
      <c r="D33" s="19"/>
      <c r="E33" s="19"/>
      <c r="F33" s="19"/>
      <c r="G33" s="19"/>
      <c r="H33" s="35">
        <f>C33^2*E42</f>
        <v>0</v>
      </c>
      <c r="I33" s="19"/>
      <c r="J33" s="19"/>
      <c r="K33" s="45">
        <f>IF(M33+N33=0,0,ATAN2(M33,N33)*180/PI())</f>
        <v>0</v>
      </c>
      <c r="L33" s="13" t="s">
        <v>35</v>
      </c>
      <c r="M33" s="16">
        <f>SUM(M30:M32)</f>
        <v>0</v>
      </c>
      <c r="N33" s="16">
        <f>SUM(N30:N32)</f>
        <v>0</v>
      </c>
      <c r="O33" s="19"/>
      <c r="P33" s="19"/>
      <c r="Q33" s="19"/>
      <c r="R33" s="50"/>
    </row>
    <row r="34" spans="1:18" ht="15">
      <c r="A34" s="49"/>
      <c r="B34" s="19"/>
      <c r="C34" s="19"/>
      <c r="D34" s="19"/>
      <c r="E34" s="19"/>
      <c r="F34" s="19"/>
      <c r="G34" s="19"/>
      <c r="H34" s="35">
        <f>SUM(H30:H33)</f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50"/>
    </row>
    <row r="35" spans="1:18" ht="15">
      <c r="A35" s="4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50"/>
    </row>
    <row r="36" spans="1:18" ht="15">
      <c r="A36" s="4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50"/>
    </row>
    <row r="37" spans="1:18" ht="15">
      <c r="A37" s="49" t="s">
        <v>31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50"/>
    </row>
    <row r="38" spans="1:18" ht="15">
      <c r="A38" s="49"/>
      <c r="B38" s="19"/>
      <c r="C38" s="6" t="s">
        <v>26</v>
      </c>
      <c r="D38" s="7"/>
      <c r="E38" s="6" t="s">
        <v>27</v>
      </c>
      <c r="F38" s="6" t="s">
        <v>28</v>
      </c>
      <c r="G38" s="6" t="s">
        <v>29</v>
      </c>
      <c r="H38" s="20" t="s">
        <v>35</v>
      </c>
      <c r="I38" s="8" t="s">
        <v>48</v>
      </c>
      <c r="J38" s="8" t="s">
        <v>55</v>
      </c>
      <c r="K38" s="8" t="s">
        <v>45</v>
      </c>
      <c r="L38" s="8" t="s">
        <v>46</v>
      </c>
      <c r="M38" s="13" t="s">
        <v>44</v>
      </c>
      <c r="N38" s="21" t="s">
        <v>38</v>
      </c>
      <c r="O38" s="21" t="s">
        <v>39</v>
      </c>
      <c r="P38" s="19"/>
      <c r="Q38" s="19"/>
      <c r="R38" s="50"/>
    </row>
    <row r="39" spans="1:18" ht="15">
      <c r="A39" s="49"/>
      <c r="B39" s="19" t="s">
        <v>22</v>
      </c>
      <c r="C39" s="37">
        <f>(E39*G39)+I39</f>
        <v>253.00000000000003</v>
      </c>
      <c r="D39" s="10"/>
      <c r="E39" s="9">
        <f>E27</f>
        <v>0</v>
      </c>
      <c r="F39" s="8"/>
      <c r="G39" s="39">
        <f>C30</f>
        <v>0</v>
      </c>
      <c r="H39" s="39">
        <f>K30</f>
        <v>0</v>
      </c>
      <c r="I39" s="8">
        <f>Wert_2</f>
        <v>253.00000000000003</v>
      </c>
      <c r="J39" s="8">
        <f>Wert_2</f>
        <v>253.00000000000003</v>
      </c>
      <c r="K39" s="8">
        <f>C42*N39</f>
        <v>0</v>
      </c>
      <c r="L39" s="8">
        <f>C42*O39</f>
        <v>0</v>
      </c>
      <c r="M39" s="39">
        <f>H42-H39</f>
        <v>0</v>
      </c>
      <c r="N39" s="43">
        <f>COS(M39/180*PI())</f>
        <v>1</v>
      </c>
      <c r="O39" s="43">
        <f>SIN(M39/180*PI())</f>
        <v>0</v>
      </c>
      <c r="P39" s="19"/>
      <c r="Q39" s="19"/>
      <c r="R39" s="50"/>
    </row>
    <row r="40" spans="1:18" ht="15">
      <c r="A40" s="49"/>
      <c r="B40" s="19" t="s">
        <v>23</v>
      </c>
      <c r="C40" s="37">
        <f>(E40*G40)+I40</f>
        <v>253.00000000000003</v>
      </c>
      <c r="D40" s="10"/>
      <c r="E40" s="9">
        <f>E39</f>
        <v>0</v>
      </c>
      <c r="F40" s="8"/>
      <c r="G40" s="39">
        <f>C31</f>
        <v>0</v>
      </c>
      <c r="H40" s="39">
        <f>K31</f>
        <v>-120</v>
      </c>
      <c r="I40" s="8">
        <f>Wert_4</f>
        <v>253.00000000000003</v>
      </c>
      <c r="J40" s="8">
        <f>Wert_4</f>
        <v>253.00000000000003</v>
      </c>
      <c r="K40" s="8">
        <f>C42*N40</f>
        <v>0</v>
      </c>
      <c r="L40" s="8">
        <f>C42*O40</f>
        <v>0</v>
      </c>
      <c r="M40" s="39">
        <f>H42-H40</f>
        <v>120</v>
      </c>
      <c r="N40" s="43">
        <f>COS(M40/180*PI())</f>
        <v>-0.4999999999999998</v>
      </c>
      <c r="O40" s="43">
        <f>SIN(M40/180*PI())</f>
        <v>0.8660254037844387</v>
      </c>
      <c r="P40" s="19"/>
      <c r="Q40" s="19"/>
      <c r="R40" s="50"/>
    </row>
    <row r="41" spans="1:18" ht="15">
      <c r="A41" s="49"/>
      <c r="B41" s="19" t="s">
        <v>24</v>
      </c>
      <c r="C41" s="37">
        <f>(E41*G41)+I41</f>
        <v>253.00000000000003</v>
      </c>
      <c r="D41" s="10"/>
      <c r="E41" s="9">
        <f>E40</f>
        <v>0</v>
      </c>
      <c r="F41" s="8"/>
      <c r="G41" s="39">
        <f>C32</f>
        <v>0</v>
      </c>
      <c r="H41" s="39">
        <f>K32</f>
        <v>-240</v>
      </c>
      <c r="I41" s="8">
        <f>Wert_6</f>
        <v>253.00000000000003</v>
      </c>
      <c r="J41" s="8">
        <f>Wert_6</f>
        <v>253.00000000000003</v>
      </c>
      <c r="K41" s="8">
        <f>C42*N41</f>
        <v>0</v>
      </c>
      <c r="L41" s="8">
        <f>C42*O41</f>
        <v>0</v>
      </c>
      <c r="M41" s="39">
        <f>H42-H41</f>
        <v>240</v>
      </c>
      <c r="N41" s="43">
        <f>COS(M41/180*PI())</f>
        <v>-0.5000000000000004</v>
      </c>
      <c r="O41" s="43">
        <f>SIN(M41/180*PI())</f>
        <v>-0.8660254037844384</v>
      </c>
      <c r="P41" s="19"/>
      <c r="Q41" s="19"/>
      <c r="R41" s="50"/>
    </row>
    <row r="42" spans="1:18" ht="15">
      <c r="A42" s="49"/>
      <c r="B42" s="19" t="s">
        <v>36</v>
      </c>
      <c r="C42" s="37">
        <f>E42*G42</f>
        <v>0</v>
      </c>
      <c r="D42" s="10"/>
      <c r="E42" s="9">
        <f>E41</f>
        <v>0</v>
      </c>
      <c r="F42" s="8"/>
      <c r="G42" s="39">
        <f>C33</f>
        <v>0</v>
      </c>
      <c r="H42" s="39">
        <f>K33</f>
        <v>0</v>
      </c>
      <c r="I42" s="19"/>
      <c r="J42" s="19"/>
      <c r="K42" s="19"/>
      <c r="L42" s="19"/>
      <c r="M42" s="19"/>
      <c r="N42" s="19"/>
      <c r="O42" s="19"/>
      <c r="P42" s="19"/>
      <c r="Q42" s="19"/>
      <c r="R42" s="50"/>
    </row>
    <row r="43" spans="1:18" ht="15.75" thickBo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60"/>
    </row>
    <row r="48" ht="15">
      <c r="A48" s="3" t="s">
        <v>33</v>
      </c>
    </row>
    <row r="49" spans="1:18" ht="15">
      <c r="A49" s="33" t="s">
        <v>22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ht="15">
      <c r="A50" s="25" t="s">
        <v>49</v>
      </c>
      <c r="B50" s="19"/>
      <c r="C50" s="19"/>
      <c r="D50" s="19"/>
      <c r="E50" s="19">
        <f>Formular!J49</f>
        <v>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7"/>
    </row>
    <row r="51" spans="1:18" ht="15">
      <c r="A51" s="2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7"/>
    </row>
    <row r="52" spans="1:18" ht="15">
      <c r="A52" s="25"/>
      <c r="B52" s="19"/>
      <c r="C52" s="6" t="s">
        <v>18</v>
      </c>
      <c r="D52" s="7" t="s">
        <v>19</v>
      </c>
      <c r="E52" s="6" t="s">
        <v>17</v>
      </c>
      <c r="F52" s="6" t="s">
        <v>20</v>
      </c>
      <c r="G52" s="6" t="s">
        <v>21</v>
      </c>
      <c r="H52" s="18"/>
      <c r="I52" s="18"/>
      <c r="J52" s="19"/>
      <c r="K52" s="19"/>
      <c r="L52" s="19"/>
      <c r="M52" s="19"/>
      <c r="N52" s="19"/>
      <c r="O52" s="19"/>
      <c r="P52" s="19"/>
      <c r="Q52" s="19"/>
      <c r="R52" s="27"/>
    </row>
    <row r="53" spans="1:18" ht="15">
      <c r="A53" s="25"/>
      <c r="B53" s="19"/>
      <c r="C53" s="10">
        <f>E53/G53*1000</f>
        <v>0</v>
      </c>
      <c r="D53" s="8"/>
      <c r="E53" s="42">
        <f>Formular!G51</f>
        <v>0</v>
      </c>
      <c r="F53" s="8"/>
      <c r="G53" s="10">
        <v>253</v>
      </c>
      <c r="H53" s="19"/>
      <c r="I53" s="22"/>
      <c r="J53" s="19"/>
      <c r="K53" s="19"/>
      <c r="L53" s="19"/>
      <c r="M53" s="19"/>
      <c r="N53" s="19"/>
      <c r="O53" s="19"/>
      <c r="P53" s="19"/>
      <c r="Q53" s="19"/>
      <c r="R53" s="27"/>
    </row>
    <row r="54" spans="1:18" ht="15">
      <c r="A54" s="25"/>
      <c r="B54" s="19"/>
      <c r="C54" s="19"/>
      <c r="D54" s="19"/>
      <c r="E54" s="19"/>
      <c r="F54" s="19"/>
      <c r="G54" s="19"/>
      <c r="H54" s="19"/>
      <c r="I54" s="22"/>
      <c r="J54" s="19"/>
      <c r="K54" s="19"/>
      <c r="L54" s="19"/>
      <c r="M54" s="19"/>
      <c r="N54" s="19"/>
      <c r="O54" s="19"/>
      <c r="P54" s="19"/>
      <c r="Q54" s="19"/>
      <c r="R54" s="27"/>
    </row>
    <row r="55" spans="1:18" ht="15">
      <c r="A55" s="25"/>
      <c r="B55" s="19"/>
      <c r="C55" s="6" t="s">
        <v>26</v>
      </c>
      <c r="D55" s="7"/>
      <c r="E55" s="6" t="s">
        <v>27</v>
      </c>
      <c r="F55" s="6" t="s">
        <v>28</v>
      </c>
      <c r="G55" s="6" t="s">
        <v>29</v>
      </c>
      <c r="H55" s="19"/>
      <c r="I55" s="22"/>
      <c r="J55" s="19"/>
      <c r="K55" s="19"/>
      <c r="L55" s="19"/>
      <c r="M55" s="19"/>
      <c r="N55" s="19"/>
      <c r="O55" s="19"/>
      <c r="P55" s="19"/>
      <c r="Q55" s="19"/>
      <c r="R55" s="27"/>
    </row>
    <row r="56" spans="1:20" ht="15">
      <c r="A56" s="31">
        <f>Wert_8/U_Null</f>
        <v>1.1</v>
      </c>
      <c r="B56" s="19" t="s">
        <v>22</v>
      </c>
      <c r="C56" s="38">
        <f>E56*G56+C39</f>
        <v>253.00000000000003</v>
      </c>
      <c r="D56" s="8"/>
      <c r="E56" s="9">
        <f>E50</f>
        <v>0</v>
      </c>
      <c r="F56" s="8"/>
      <c r="G56" s="39">
        <f>C53</f>
        <v>0</v>
      </c>
      <c r="H56" s="35">
        <f>G56^2*E56</f>
        <v>0</v>
      </c>
      <c r="I56" s="22"/>
      <c r="J56" s="19"/>
      <c r="K56" s="19"/>
      <c r="L56" s="19"/>
      <c r="M56" s="19"/>
      <c r="N56" s="19"/>
      <c r="O56" s="19"/>
      <c r="P56" s="19"/>
      <c r="Q56" s="19"/>
      <c r="R56" s="27"/>
      <c r="T56">
        <f>ROUND(ABS(Wert_7-Wert_8),1)</f>
        <v>0</v>
      </c>
    </row>
    <row r="57" spans="1:18" ht="1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/>
    </row>
    <row r="59" spans="1:18" ht="15">
      <c r="A59" s="33" t="s">
        <v>23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</row>
    <row r="60" spans="1:18" ht="15">
      <c r="A60" s="25" t="s">
        <v>50</v>
      </c>
      <c r="B60" s="19"/>
      <c r="C60" s="19"/>
      <c r="D60" s="19"/>
      <c r="E60" s="19">
        <f>Formular!J59</f>
        <v>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7"/>
    </row>
    <row r="61" spans="1:18" ht="15">
      <c r="A61" s="25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7"/>
    </row>
    <row r="62" spans="1:18" ht="15">
      <c r="A62" s="25"/>
      <c r="B62" s="19"/>
      <c r="C62" s="6" t="s">
        <v>18</v>
      </c>
      <c r="D62" s="7" t="s">
        <v>19</v>
      </c>
      <c r="E62" s="6" t="s">
        <v>17</v>
      </c>
      <c r="F62" s="6" t="s">
        <v>20</v>
      </c>
      <c r="G62" s="6" t="s">
        <v>21</v>
      </c>
      <c r="H62" s="18"/>
      <c r="I62" s="19"/>
      <c r="J62" s="19"/>
      <c r="K62" s="19"/>
      <c r="L62" s="19"/>
      <c r="M62" s="19"/>
      <c r="N62" s="19"/>
      <c r="O62" s="19"/>
      <c r="P62" s="19"/>
      <c r="Q62" s="19"/>
      <c r="R62" s="27"/>
    </row>
    <row r="63" spans="1:18" ht="15">
      <c r="A63" s="25"/>
      <c r="B63" s="19"/>
      <c r="C63" s="39">
        <f>E63/G63*1000</f>
        <v>0</v>
      </c>
      <c r="D63" s="8"/>
      <c r="E63" s="42">
        <f>Formular!G61</f>
        <v>0</v>
      </c>
      <c r="F63" s="8"/>
      <c r="G63" s="39">
        <v>253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7"/>
    </row>
    <row r="64" spans="1:18" ht="15">
      <c r="A64" s="2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7"/>
    </row>
    <row r="65" spans="1:18" ht="15">
      <c r="A65" s="25"/>
      <c r="B65" s="19"/>
      <c r="C65" s="6" t="s">
        <v>26</v>
      </c>
      <c r="D65" s="7"/>
      <c r="E65" s="6" t="s">
        <v>27</v>
      </c>
      <c r="F65" s="6" t="s">
        <v>28</v>
      </c>
      <c r="G65" s="6" t="s">
        <v>29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7"/>
    </row>
    <row r="66" spans="1:20" ht="15">
      <c r="A66" s="31">
        <f>Wert_10/U_Null</f>
        <v>1.1</v>
      </c>
      <c r="B66" s="19" t="s">
        <v>22</v>
      </c>
      <c r="C66" s="40">
        <f>E66*G66+C40</f>
        <v>253.00000000000003</v>
      </c>
      <c r="D66" s="8"/>
      <c r="E66" s="9">
        <f>E60</f>
        <v>0</v>
      </c>
      <c r="F66" s="8"/>
      <c r="G66" s="39">
        <f>C63</f>
        <v>0</v>
      </c>
      <c r="H66" s="35">
        <f>G66^2*E66</f>
        <v>0</v>
      </c>
      <c r="I66" s="22"/>
      <c r="J66" s="19"/>
      <c r="K66" s="19"/>
      <c r="L66" s="19"/>
      <c r="M66" s="19"/>
      <c r="N66" s="19"/>
      <c r="O66" s="19"/>
      <c r="P66" s="19"/>
      <c r="Q66" s="19"/>
      <c r="R66" s="27"/>
      <c r="T66">
        <f>ROUND(ABS(Wert_9-Wert_10),1)</f>
        <v>0</v>
      </c>
    </row>
    <row r="67" spans="1:18" ht="1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0"/>
    </row>
    <row r="70" spans="1:18" ht="15">
      <c r="A70" s="33" t="s">
        <v>24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</row>
    <row r="71" spans="1:18" ht="15">
      <c r="A71" s="25" t="s">
        <v>51</v>
      </c>
      <c r="B71" s="19"/>
      <c r="C71" s="19"/>
      <c r="D71" s="19"/>
      <c r="E71" s="19">
        <f>Formular!J69</f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7"/>
    </row>
    <row r="72" spans="1:18" ht="15">
      <c r="A72" s="25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7"/>
    </row>
    <row r="73" spans="1:18" ht="15">
      <c r="A73" s="25"/>
      <c r="B73" s="19"/>
      <c r="C73" s="6" t="s">
        <v>18</v>
      </c>
      <c r="D73" s="7" t="s">
        <v>19</v>
      </c>
      <c r="E73" s="6" t="s">
        <v>17</v>
      </c>
      <c r="F73" s="6" t="s">
        <v>20</v>
      </c>
      <c r="G73" s="6" t="s">
        <v>21</v>
      </c>
      <c r="H73" s="18"/>
      <c r="I73" s="19"/>
      <c r="J73" s="19"/>
      <c r="K73" s="19"/>
      <c r="L73" s="19"/>
      <c r="M73" s="19"/>
      <c r="N73" s="19"/>
      <c r="O73" s="19"/>
      <c r="P73" s="19"/>
      <c r="Q73" s="19"/>
      <c r="R73" s="27"/>
    </row>
    <row r="74" spans="1:18" ht="15">
      <c r="A74" s="25"/>
      <c r="B74" s="19"/>
      <c r="C74" s="39">
        <f>E74/G74*1000</f>
        <v>0</v>
      </c>
      <c r="D74" s="8"/>
      <c r="E74" s="42">
        <f>Formular!G71</f>
        <v>0</v>
      </c>
      <c r="F74" s="8"/>
      <c r="G74" s="39">
        <v>253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7"/>
    </row>
    <row r="75" spans="1:18" ht="15">
      <c r="A75" s="25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7"/>
    </row>
    <row r="76" spans="1:18" ht="15">
      <c r="A76" s="25"/>
      <c r="B76" s="19"/>
      <c r="C76" s="6" t="s">
        <v>26</v>
      </c>
      <c r="D76" s="7"/>
      <c r="E76" s="6" t="s">
        <v>27</v>
      </c>
      <c r="F76" s="6" t="s">
        <v>28</v>
      </c>
      <c r="G76" s="6" t="s">
        <v>29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7"/>
    </row>
    <row r="77" spans="1:20" ht="15">
      <c r="A77" s="31">
        <f>Wert_12/U_Null</f>
        <v>1.1</v>
      </c>
      <c r="B77" s="19" t="s">
        <v>22</v>
      </c>
      <c r="C77" s="40">
        <f>E77*G77+C41</f>
        <v>253.00000000000003</v>
      </c>
      <c r="D77" s="8"/>
      <c r="E77" s="9">
        <f>E71</f>
        <v>0</v>
      </c>
      <c r="F77" s="8"/>
      <c r="G77" s="39">
        <f>C74</f>
        <v>0</v>
      </c>
      <c r="H77" s="35">
        <f>G77^2*E77</f>
        <v>0</v>
      </c>
      <c r="I77" s="22"/>
      <c r="J77" s="19"/>
      <c r="K77" s="19"/>
      <c r="L77" s="19"/>
      <c r="M77" s="19"/>
      <c r="N77" s="19"/>
      <c r="O77" s="19"/>
      <c r="P77" s="19"/>
      <c r="Q77" s="19"/>
      <c r="R77" s="27"/>
      <c r="T77">
        <f>ROUND(ABS(Wert_11-Wert_12),1)</f>
        <v>0</v>
      </c>
    </row>
    <row r="78" spans="1:18" ht="1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30"/>
    </row>
    <row r="80" spans="1:20" ht="15">
      <c r="A80" t="s">
        <v>53</v>
      </c>
      <c r="H80" s="35">
        <f>H77+H66+H56+H17</f>
        <v>0</v>
      </c>
      <c r="R80" t="s">
        <v>60</v>
      </c>
      <c r="T80">
        <f>SUM(T13:T79)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80"/>
  <sheetViews>
    <sheetView showGridLines="0" showRowColHeaders="0" showZeros="0" tabSelected="1" zoomScaleSheetLayoutView="70" workbookViewId="0" topLeftCell="A1">
      <selection activeCell="S15" sqref="S15"/>
    </sheetView>
  </sheetViews>
  <sheetFormatPr defaultColWidth="11.19921875" defaultRowHeight="14.25"/>
  <cols>
    <col min="1" max="1" width="4.69921875" style="0" customWidth="1"/>
    <col min="2" max="2" width="9.59765625" style="0" customWidth="1"/>
    <col min="3" max="3" width="5.3984375" style="0" customWidth="1"/>
    <col min="4" max="4" width="6" style="0" customWidth="1"/>
    <col min="5" max="6" width="6.59765625" style="0" customWidth="1"/>
    <col min="7" max="7" width="10.5" style="0" bestFit="1" customWidth="1"/>
    <col min="8" max="8" width="8.59765625" style="0" customWidth="1"/>
    <col min="9" max="9" width="14" style="0" customWidth="1"/>
    <col min="10" max="10" width="8.3984375" style="0" customWidth="1"/>
    <col min="11" max="11" width="8.5" style="0" customWidth="1"/>
    <col min="12" max="13" width="5.5" style="0" customWidth="1"/>
    <col min="14" max="14" width="3.69921875" style="0" customWidth="1"/>
    <col min="16" max="16" width="3.8984375" style="0" customWidth="1"/>
    <col min="17" max="17" width="11.3984375" style="0" bestFit="1" customWidth="1"/>
  </cols>
  <sheetData>
    <row r="1" spans="2:18" ht="14.25">
      <c r="B1" s="19"/>
      <c r="K1" s="79"/>
      <c r="Q1" s="78"/>
      <c r="R1" s="78">
        <v>1.5</v>
      </c>
    </row>
    <row r="2" spans="1:18" ht="18">
      <c r="A2" s="63" t="s">
        <v>89</v>
      </c>
      <c r="L2" s="91"/>
      <c r="M2" s="92"/>
      <c r="N2" s="92"/>
      <c r="O2" s="86"/>
      <c r="Q2" s="78" t="s">
        <v>16</v>
      </c>
      <c r="R2" s="78">
        <v>2.5</v>
      </c>
    </row>
    <row r="3" spans="1:18" ht="18">
      <c r="A3" s="63" t="s">
        <v>90</v>
      </c>
      <c r="L3" s="86"/>
      <c r="M3" s="86"/>
      <c r="N3" s="86"/>
      <c r="O3" s="86"/>
      <c r="Q3" s="78" t="s">
        <v>30</v>
      </c>
      <c r="R3" s="78">
        <v>4</v>
      </c>
    </row>
    <row r="4" spans="1:18" ht="16.5">
      <c r="A4" s="19"/>
      <c r="B4" s="68">
        <f>IF(Rechnen!T80&gt;0,"Berechnung unvollständig. Sind die Excel Macros bei Ihnen noch deaktiviert?","")</f>
      </c>
      <c r="L4" s="85"/>
      <c r="M4" s="85"/>
      <c r="N4" s="85"/>
      <c r="Q4" s="78"/>
      <c r="R4" s="78">
        <v>6</v>
      </c>
    </row>
    <row r="5" spans="1:18" ht="14.25">
      <c r="A5" s="19"/>
      <c r="B5" s="82">
        <f>IF(Summe_EEG&gt;30,"Ab 30kVA Wechselrichternennleistung ist ein übergeordneter Schutz erforderlich","")</f>
      </c>
      <c r="M5" s="65"/>
      <c r="Q5" s="78"/>
      <c r="R5" s="78">
        <v>10</v>
      </c>
    </row>
    <row r="6" spans="1:18" ht="15">
      <c r="A6" s="19"/>
      <c r="B6" s="82" t="s">
        <v>95</v>
      </c>
      <c r="M6" s="65"/>
      <c r="Q6" s="78"/>
      <c r="R6" s="78"/>
    </row>
    <row r="7" spans="1:18" ht="15">
      <c r="A7" s="19"/>
      <c r="B7" s="84">
        <f>IF(Rechnen!E17&gt;4.6,"Schieflast größer als 4,6kVA Anschluss unzulässig","")</f>
      </c>
      <c r="M7" s="65"/>
      <c r="Q7" s="78"/>
      <c r="R7" s="78">
        <v>16</v>
      </c>
    </row>
    <row r="8" spans="1:18" ht="17.25">
      <c r="A8" s="64" t="s">
        <v>63</v>
      </c>
      <c r="B8" s="19"/>
      <c r="G8" s="77" t="s">
        <v>21</v>
      </c>
      <c r="H8" s="65">
        <f>U_HAK</f>
        <v>253.00000000000003</v>
      </c>
      <c r="I8" t="s">
        <v>0</v>
      </c>
      <c r="Q8" s="78"/>
      <c r="R8" s="78">
        <v>25</v>
      </c>
    </row>
    <row r="9" spans="1:18" ht="15">
      <c r="A9" s="19"/>
      <c r="B9" s="19"/>
      <c r="L9" s="89" t="s">
        <v>57</v>
      </c>
      <c r="M9" s="90"/>
      <c r="Q9" s="78"/>
      <c r="R9" s="78">
        <v>35</v>
      </c>
    </row>
    <row r="10" spans="1:18" ht="15">
      <c r="A10" s="19"/>
      <c r="B10" s="19" t="s">
        <v>1</v>
      </c>
      <c r="C10" s="73"/>
      <c r="D10" s="19" t="s">
        <v>3</v>
      </c>
      <c r="E10" s="73">
        <v>4</v>
      </c>
      <c r="F10" s="19" t="s">
        <v>2</v>
      </c>
      <c r="G10" s="73" t="s">
        <v>30</v>
      </c>
      <c r="H10" s="19">
        <f aca="true" t="shared" si="0" ref="H10:H19">VLOOKUP(G10,Stoffwerte,2,FALSE)</f>
        <v>55.25</v>
      </c>
      <c r="I10" s="19" t="s">
        <v>61</v>
      </c>
      <c r="J10" s="26">
        <f>IF(ISTEXT(C10),0,C10/E10/H10)</f>
        <v>0</v>
      </c>
      <c r="K10" s="19" t="s">
        <v>4</v>
      </c>
      <c r="L10" s="50"/>
      <c r="Q10" s="78"/>
      <c r="R10" s="78">
        <v>50</v>
      </c>
    </row>
    <row r="11" spans="1:18" ht="15">
      <c r="A11" s="19"/>
      <c r="B11" s="19" t="s">
        <v>5</v>
      </c>
      <c r="C11" s="73"/>
      <c r="D11" s="19" t="s">
        <v>3</v>
      </c>
      <c r="E11" s="73">
        <v>10</v>
      </c>
      <c r="F11" s="19" t="s">
        <v>2</v>
      </c>
      <c r="G11" s="73" t="s">
        <v>30</v>
      </c>
      <c r="H11" s="19">
        <f t="shared" si="0"/>
        <v>55.25</v>
      </c>
      <c r="I11" s="19" t="str">
        <f aca="true" t="shared" si="1" ref="I11:I19">I10</f>
        <v>m/Ohm/mm²</v>
      </c>
      <c r="J11" s="26">
        <f aca="true" t="shared" si="2" ref="J11:J19">IF(ISTEXT(C11),0,C11/E11/H11)</f>
        <v>0</v>
      </c>
      <c r="K11" s="19" t="str">
        <f aca="true" t="shared" si="3" ref="K11:K19">K10</f>
        <v>Ohm</v>
      </c>
      <c r="L11" s="50"/>
      <c r="N11" t="s">
        <v>1</v>
      </c>
      <c r="Q11" s="78"/>
      <c r="R11" s="78">
        <v>70</v>
      </c>
    </row>
    <row r="12" spans="1:18" ht="15">
      <c r="A12" s="19"/>
      <c r="B12" s="19" t="s">
        <v>6</v>
      </c>
      <c r="C12" s="73"/>
      <c r="D12" s="19" t="s">
        <v>3</v>
      </c>
      <c r="E12" s="73">
        <v>10</v>
      </c>
      <c r="F12" s="19" t="s">
        <v>2</v>
      </c>
      <c r="G12" s="73" t="s">
        <v>30</v>
      </c>
      <c r="H12" s="19">
        <f t="shared" si="0"/>
        <v>55.25</v>
      </c>
      <c r="I12" s="19" t="str">
        <f t="shared" si="1"/>
        <v>m/Ohm/mm²</v>
      </c>
      <c r="J12" s="26">
        <f t="shared" si="2"/>
        <v>0</v>
      </c>
      <c r="K12" s="19" t="str">
        <f t="shared" si="3"/>
        <v>Ohm</v>
      </c>
      <c r="L12" s="50"/>
      <c r="N12" t="s">
        <v>5</v>
      </c>
      <c r="Q12" s="78"/>
      <c r="R12" s="78">
        <v>95</v>
      </c>
    </row>
    <row r="13" spans="1:18" ht="15">
      <c r="A13" s="19"/>
      <c r="B13" s="19" t="s">
        <v>7</v>
      </c>
      <c r="C13" s="73"/>
      <c r="D13" s="19" t="s">
        <v>3</v>
      </c>
      <c r="E13" s="73">
        <v>10</v>
      </c>
      <c r="F13" s="19" t="s">
        <v>2</v>
      </c>
      <c r="G13" s="73" t="s">
        <v>30</v>
      </c>
      <c r="H13" s="19">
        <f t="shared" si="0"/>
        <v>55.25</v>
      </c>
      <c r="I13" s="19" t="str">
        <f t="shared" si="1"/>
        <v>m/Ohm/mm²</v>
      </c>
      <c r="J13" s="26">
        <f t="shared" si="2"/>
        <v>0</v>
      </c>
      <c r="K13" s="19" t="str">
        <f t="shared" si="3"/>
        <v>Ohm</v>
      </c>
      <c r="L13" s="50"/>
      <c r="N13" s="74" t="s">
        <v>69</v>
      </c>
      <c r="Q13" s="78"/>
      <c r="R13" s="78">
        <v>120</v>
      </c>
    </row>
    <row r="14" spans="1:18" ht="15">
      <c r="A14" s="19"/>
      <c r="B14" s="19" t="s">
        <v>8</v>
      </c>
      <c r="C14" s="73"/>
      <c r="D14" s="19" t="s">
        <v>3</v>
      </c>
      <c r="E14" s="73">
        <v>10</v>
      </c>
      <c r="F14" s="19" t="s">
        <v>2</v>
      </c>
      <c r="G14" s="73" t="s">
        <v>30</v>
      </c>
      <c r="H14" s="19">
        <f t="shared" si="0"/>
        <v>55.25</v>
      </c>
      <c r="I14" s="19" t="str">
        <f t="shared" si="1"/>
        <v>m/Ohm/mm²</v>
      </c>
      <c r="J14" s="26">
        <f t="shared" si="2"/>
        <v>0</v>
      </c>
      <c r="K14" s="19" t="str">
        <f t="shared" si="3"/>
        <v>Ohm</v>
      </c>
      <c r="L14" s="50"/>
      <c r="N14" s="75"/>
      <c r="Q14" s="78"/>
      <c r="R14" s="78">
        <v>150</v>
      </c>
    </row>
    <row r="15" spans="1:18" ht="15">
      <c r="A15" s="19"/>
      <c r="B15" s="19" t="s">
        <v>11</v>
      </c>
      <c r="C15" s="73"/>
      <c r="D15" s="19" t="s">
        <v>3</v>
      </c>
      <c r="E15" s="73">
        <v>10</v>
      </c>
      <c r="F15" s="19" t="s">
        <v>2</v>
      </c>
      <c r="G15" s="73" t="s">
        <v>30</v>
      </c>
      <c r="H15" s="19">
        <f t="shared" si="0"/>
        <v>55.25</v>
      </c>
      <c r="I15" s="19" t="str">
        <f t="shared" si="1"/>
        <v>m/Ohm/mm²</v>
      </c>
      <c r="J15" s="26">
        <f t="shared" si="2"/>
        <v>0</v>
      </c>
      <c r="K15" s="19" t="str">
        <f t="shared" si="3"/>
        <v>Ohm</v>
      </c>
      <c r="L15" s="50"/>
      <c r="N15" s="75"/>
      <c r="Q15" s="78"/>
      <c r="R15" s="78">
        <v>185</v>
      </c>
    </row>
    <row r="16" spans="1:18" ht="15">
      <c r="A16" s="19"/>
      <c r="B16" s="19" t="s">
        <v>12</v>
      </c>
      <c r="C16" s="73"/>
      <c r="D16" s="19" t="s">
        <v>3</v>
      </c>
      <c r="E16" s="73">
        <v>10</v>
      </c>
      <c r="F16" s="19" t="s">
        <v>2</v>
      </c>
      <c r="G16" s="73" t="s">
        <v>30</v>
      </c>
      <c r="H16" s="19">
        <f t="shared" si="0"/>
        <v>55.25</v>
      </c>
      <c r="I16" s="19" t="str">
        <f t="shared" si="1"/>
        <v>m/Ohm/mm²</v>
      </c>
      <c r="J16" s="26">
        <f t="shared" si="2"/>
        <v>0</v>
      </c>
      <c r="K16" s="19" t="str">
        <f t="shared" si="3"/>
        <v>Ohm</v>
      </c>
      <c r="L16" s="89" t="s">
        <v>58</v>
      </c>
      <c r="M16" s="90"/>
      <c r="N16" s="75"/>
      <c r="Q16" s="78"/>
      <c r="R16" s="78">
        <v>240</v>
      </c>
    </row>
    <row r="17" spans="1:14" ht="15">
      <c r="A17" s="19"/>
      <c r="B17" s="19" t="s">
        <v>13</v>
      </c>
      <c r="C17" s="73"/>
      <c r="D17" s="19" t="s">
        <v>3</v>
      </c>
      <c r="E17" s="73">
        <v>10</v>
      </c>
      <c r="F17" s="19" t="s">
        <v>2</v>
      </c>
      <c r="G17" s="73" t="s">
        <v>30</v>
      </c>
      <c r="H17" s="19">
        <f t="shared" si="0"/>
        <v>55.25</v>
      </c>
      <c r="I17" s="19" t="str">
        <f t="shared" si="1"/>
        <v>m/Ohm/mm²</v>
      </c>
      <c r="J17" s="26">
        <f t="shared" si="2"/>
        <v>0</v>
      </c>
      <c r="K17" s="19" t="str">
        <f t="shared" si="3"/>
        <v>Ohm</v>
      </c>
      <c r="L17" s="50"/>
      <c r="N17" s="75"/>
    </row>
    <row r="18" spans="1:14" ht="15">
      <c r="A18" s="19"/>
      <c r="B18" s="19" t="s">
        <v>14</v>
      </c>
      <c r="C18" s="73"/>
      <c r="D18" s="19" t="s">
        <v>3</v>
      </c>
      <c r="E18" s="73">
        <v>10</v>
      </c>
      <c r="F18" s="19" t="s">
        <v>2</v>
      </c>
      <c r="G18" s="73" t="s">
        <v>30</v>
      </c>
      <c r="H18" s="19">
        <f t="shared" si="0"/>
        <v>55.25</v>
      </c>
      <c r="I18" s="19" t="str">
        <f t="shared" si="1"/>
        <v>m/Ohm/mm²</v>
      </c>
      <c r="J18" s="26">
        <f t="shared" si="2"/>
        <v>0</v>
      </c>
      <c r="K18" s="19" t="str">
        <f t="shared" si="3"/>
        <v>Ohm</v>
      </c>
      <c r="L18" s="50"/>
      <c r="N18" s="75"/>
    </row>
    <row r="19" spans="1:14" ht="15">
      <c r="A19" s="19"/>
      <c r="B19" s="19" t="s">
        <v>15</v>
      </c>
      <c r="C19" s="73"/>
      <c r="D19" s="19" t="s">
        <v>3</v>
      </c>
      <c r="E19" s="73">
        <v>10</v>
      </c>
      <c r="F19" s="19" t="s">
        <v>2</v>
      </c>
      <c r="G19" s="73" t="s">
        <v>30</v>
      </c>
      <c r="H19" s="19">
        <f t="shared" si="0"/>
        <v>55.25</v>
      </c>
      <c r="I19" s="19" t="str">
        <f t="shared" si="1"/>
        <v>m/Ohm/mm²</v>
      </c>
      <c r="J19" s="26">
        <f t="shared" si="2"/>
        <v>0</v>
      </c>
      <c r="K19" s="19" t="str">
        <f t="shared" si="3"/>
        <v>Ohm</v>
      </c>
      <c r="L19" s="50"/>
      <c r="N19" s="75"/>
    </row>
    <row r="20" spans="1:14" ht="15">
      <c r="A20" s="19" t="s">
        <v>67</v>
      </c>
      <c r="B20" s="19"/>
      <c r="J20" s="1">
        <f>SUM(J10:J19)</f>
        <v>0</v>
      </c>
      <c r="K20" s="19" t="str">
        <f>K19</f>
        <v>Ohm</v>
      </c>
      <c r="L20" s="50"/>
      <c r="N20" s="74" t="s">
        <v>69</v>
      </c>
    </row>
    <row r="21" spans="5:14" ht="15">
      <c r="E21" t="s">
        <v>92</v>
      </c>
      <c r="L21" s="50"/>
      <c r="N21" s="74" t="s">
        <v>14</v>
      </c>
    </row>
    <row r="22" spans="1:14" ht="17.25">
      <c r="A22" s="64" t="s">
        <v>87</v>
      </c>
      <c r="B22" s="19"/>
      <c r="D22" s="71" t="s">
        <v>22</v>
      </c>
      <c r="E22" s="87"/>
      <c r="F22" s="88"/>
      <c r="G22" s="80">
        <f>H25/U_Null+0.0045</f>
        <v>1.1045</v>
      </c>
      <c r="H22" t="s">
        <v>93</v>
      </c>
      <c r="L22" s="62"/>
      <c r="N22" s="74" t="s">
        <v>15</v>
      </c>
    </row>
    <row r="23" spans="2:14" ht="15">
      <c r="B23" s="19"/>
      <c r="D23" s="71" t="s">
        <v>23</v>
      </c>
      <c r="E23" s="87"/>
      <c r="F23" s="88"/>
      <c r="G23" s="80">
        <f>H26/U_Null+0.0045</f>
        <v>1.1045</v>
      </c>
      <c r="H23" s="72"/>
      <c r="I23" s="80">
        <f>MAX(G22:G24)</f>
        <v>1.1045</v>
      </c>
      <c r="J23" s="81" t="s">
        <v>91</v>
      </c>
      <c r="L23" s="89" t="s">
        <v>59</v>
      </c>
      <c r="M23" s="90"/>
      <c r="N23" s="75"/>
    </row>
    <row r="24" spans="1:14" ht="15">
      <c r="A24" s="19"/>
      <c r="B24" s="19"/>
      <c r="D24" s="71" t="s">
        <v>24</v>
      </c>
      <c r="E24" s="87"/>
      <c r="F24" s="88"/>
      <c r="G24" s="80">
        <f>H27/U_Null+0.0045</f>
        <v>1.1045</v>
      </c>
      <c r="L24" s="61"/>
      <c r="N24" s="75"/>
    </row>
    <row r="25" spans="1:14" ht="15">
      <c r="A25" s="19"/>
      <c r="B25" s="19"/>
      <c r="G25" t="s">
        <v>22</v>
      </c>
      <c r="H25" s="41">
        <f>Wert_2</f>
        <v>253.00000000000003</v>
      </c>
      <c r="I25" t="s">
        <v>0</v>
      </c>
      <c r="L25" s="50"/>
      <c r="N25" s="75"/>
    </row>
    <row r="26" spans="1:17" ht="15">
      <c r="A26" s="19"/>
      <c r="B26" s="19"/>
      <c r="G26" t="s">
        <v>23</v>
      </c>
      <c r="H26" s="41">
        <f>Wert_4</f>
        <v>253.00000000000003</v>
      </c>
      <c r="I26" t="s">
        <v>0</v>
      </c>
      <c r="L26" s="50"/>
      <c r="N26" s="75"/>
      <c r="O26" s="41"/>
      <c r="Q26" s="2"/>
    </row>
    <row r="27" spans="1:17" ht="15">
      <c r="A27" s="19"/>
      <c r="B27" s="19"/>
      <c r="G27" t="s">
        <v>24</v>
      </c>
      <c r="H27" s="41">
        <f>Wert_6</f>
        <v>253.00000000000003</v>
      </c>
      <c r="I27" t="s">
        <v>0</v>
      </c>
      <c r="L27" s="50"/>
      <c r="N27" s="75"/>
      <c r="O27" s="41"/>
      <c r="Q27" s="2"/>
    </row>
    <row r="28" spans="1:17" ht="15">
      <c r="A28" s="1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50"/>
      <c r="N28" s="75"/>
      <c r="O28" s="41"/>
      <c r="Q28" s="2"/>
    </row>
    <row r="29" spans="1:17" ht="15">
      <c r="A29" s="19"/>
      <c r="B29" s="19"/>
      <c r="L29" s="50"/>
      <c r="N29" s="74" t="s">
        <v>70</v>
      </c>
      <c r="Q29" s="2"/>
    </row>
    <row r="30" spans="1:17" ht="15">
      <c r="A30" s="19"/>
      <c r="B30" s="19" t="s">
        <v>70</v>
      </c>
      <c r="C30" s="73"/>
      <c r="D30" s="19" t="s">
        <v>3</v>
      </c>
      <c r="E30" s="73">
        <v>4</v>
      </c>
      <c r="F30" s="19" t="s">
        <v>2</v>
      </c>
      <c r="G30" s="73" t="s">
        <v>30</v>
      </c>
      <c r="H30" s="19">
        <f>VLOOKUP(G30,Stoffwerte,2,FALSE)</f>
        <v>55.25</v>
      </c>
      <c r="I30" s="19" t="str">
        <f>I19</f>
        <v>m/Ohm/mm²</v>
      </c>
      <c r="J30" s="26">
        <f>IF(ISTEXT(C30),0,C30/E30/H30)</f>
        <v>0</v>
      </c>
      <c r="K30" s="19" t="str">
        <f>K20</f>
        <v>Ohm</v>
      </c>
      <c r="L30" s="50"/>
      <c r="N30" s="74" t="s">
        <v>71</v>
      </c>
      <c r="Q30" s="2"/>
    </row>
    <row r="31" spans="1:17" ht="15">
      <c r="A31" s="19"/>
      <c r="B31" s="19" t="s">
        <v>71</v>
      </c>
      <c r="C31" s="73"/>
      <c r="D31" s="19" t="s">
        <v>3</v>
      </c>
      <c r="E31" s="73">
        <v>4</v>
      </c>
      <c r="F31" s="19" t="s">
        <v>2</v>
      </c>
      <c r="G31" s="73" t="s">
        <v>30</v>
      </c>
      <c r="H31" s="19">
        <f>VLOOKUP(G31,Stoffwerte,2,FALSE)</f>
        <v>55.25</v>
      </c>
      <c r="I31" s="19" t="str">
        <f>I30</f>
        <v>m/Ohm/mm²</v>
      </c>
      <c r="J31" s="26">
        <f>IF(ISTEXT(C31),0,C31/E31/H31)</f>
        <v>0</v>
      </c>
      <c r="K31" s="19" t="str">
        <f>K30</f>
        <v>Ohm</v>
      </c>
      <c r="L31" s="50"/>
      <c r="N31" s="74" t="s">
        <v>69</v>
      </c>
      <c r="Q31" s="2"/>
    </row>
    <row r="32" spans="1:17" ht="15">
      <c r="A32" s="19"/>
      <c r="B32" s="19" t="s">
        <v>72</v>
      </c>
      <c r="C32" s="73"/>
      <c r="D32" s="19" t="s">
        <v>3</v>
      </c>
      <c r="E32" s="73">
        <v>4</v>
      </c>
      <c r="F32" s="19" t="s">
        <v>2</v>
      </c>
      <c r="G32" s="73" t="s">
        <v>30</v>
      </c>
      <c r="H32" s="19">
        <f>VLOOKUP(G32,Stoffwerte,2,FALSE)</f>
        <v>55.25</v>
      </c>
      <c r="I32" s="19" t="str">
        <f>I31</f>
        <v>m/Ohm/mm²</v>
      </c>
      <c r="J32" s="26">
        <f>IF(ISTEXT(C32),0,C32/E32/H32)</f>
        <v>0</v>
      </c>
      <c r="K32" s="19" t="str">
        <f>K31</f>
        <v>Ohm</v>
      </c>
      <c r="L32" s="50"/>
      <c r="N32" s="75"/>
      <c r="Q32" s="2"/>
    </row>
    <row r="33" spans="1:17" ht="15">
      <c r="A33" s="19"/>
      <c r="B33" s="19" t="s">
        <v>73</v>
      </c>
      <c r="C33" s="73"/>
      <c r="D33" s="19" t="s">
        <v>3</v>
      </c>
      <c r="E33" s="73">
        <v>4</v>
      </c>
      <c r="F33" s="19" t="s">
        <v>2</v>
      </c>
      <c r="G33" s="73" t="s">
        <v>30</v>
      </c>
      <c r="H33" s="19">
        <f>VLOOKUP(G33,Stoffwerte,2,FALSE)</f>
        <v>55.25</v>
      </c>
      <c r="I33" s="19" t="str">
        <f>I32</f>
        <v>m/Ohm/mm²</v>
      </c>
      <c r="J33" s="26">
        <f>IF(ISTEXT(C33),0,C33/E33/H33)</f>
        <v>0</v>
      </c>
      <c r="K33" s="19" t="str">
        <f>K32</f>
        <v>Ohm</v>
      </c>
      <c r="L33" s="50"/>
      <c r="N33" s="75"/>
      <c r="Q33" s="2"/>
    </row>
    <row r="34" spans="1:17" ht="15">
      <c r="A34" s="19"/>
      <c r="B34" s="19" t="s">
        <v>74</v>
      </c>
      <c r="C34" s="73"/>
      <c r="D34" s="19" t="s">
        <v>3</v>
      </c>
      <c r="E34" s="73">
        <v>4</v>
      </c>
      <c r="F34" s="19" t="s">
        <v>2</v>
      </c>
      <c r="G34" s="73" t="s">
        <v>30</v>
      </c>
      <c r="H34" s="19">
        <f>VLOOKUP(G34,Stoffwerte,2,FALSE)</f>
        <v>55.25</v>
      </c>
      <c r="I34" s="19" t="str">
        <f>I33</f>
        <v>m/Ohm/mm²</v>
      </c>
      <c r="J34" s="26">
        <f>IF(ISTEXT(C34),0,C34/E34/H34)</f>
        <v>0</v>
      </c>
      <c r="K34" s="19" t="str">
        <f>K33</f>
        <v>Ohm</v>
      </c>
      <c r="L34" s="50"/>
      <c r="N34" s="75"/>
      <c r="Q34" s="2"/>
    </row>
    <row r="35" spans="1:17" ht="15">
      <c r="A35" s="19" t="s">
        <v>67</v>
      </c>
      <c r="B35" s="19"/>
      <c r="C35" s="19"/>
      <c r="D35" s="19"/>
      <c r="E35" s="19"/>
      <c r="F35" s="19"/>
      <c r="G35" s="19"/>
      <c r="H35" s="19"/>
      <c r="I35" s="19"/>
      <c r="J35" s="1">
        <f>SUM(J30:J34)</f>
        <v>0</v>
      </c>
      <c r="K35" s="19" t="str">
        <f>K34</f>
        <v>Ohm</v>
      </c>
      <c r="L35" s="50"/>
      <c r="N35" s="75"/>
      <c r="Q35" s="2"/>
    </row>
    <row r="36" spans="2:17" ht="15">
      <c r="B36" s="19"/>
      <c r="E36" t="s">
        <v>92</v>
      </c>
      <c r="L36" s="50"/>
      <c r="N36" s="74" t="s">
        <v>74</v>
      </c>
      <c r="Q36" s="2"/>
    </row>
    <row r="37" spans="1:17" ht="15">
      <c r="A37" s="19"/>
      <c r="B37" s="19"/>
      <c r="D37" s="71" t="s">
        <v>22</v>
      </c>
      <c r="E37" s="87"/>
      <c r="F37" s="88"/>
      <c r="G37" s="80">
        <f>H40/U_Null+0.0045</f>
        <v>1.1045</v>
      </c>
      <c r="H37" t="s">
        <v>93</v>
      </c>
      <c r="L37" s="62"/>
      <c r="Q37" s="2"/>
    </row>
    <row r="38" spans="1:13" ht="17.25">
      <c r="A38" s="64" t="s">
        <v>87</v>
      </c>
      <c r="B38" s="19"/>
      <c r="D38" s="71" t="s">
        <v>23</v>
      </c>
      <c r="E38" s="87"/>
      <c r="F38" s="88"/>
      <c r="G38" s="80">
        <f>H41/U_Null+0.0045</f>
        <v>1.1045</v>
      </c>
      <c r="H38" s="72"/>
      <c r="I38" s="80">
        <f>MAX(G37:G39)</f>
        <v>1.1045</v>
      </c>
      <c r="J38" s="81" t="s">
        <v>91</v>
      </c>
      <c r="L38" s="89" t="s">
        <v>59</v>
      </c>
      <c r="M38" s="90"/>
    </row>
    <row r="39" spans="1:17" ht="17.25">
      <c r="A39" s="64"/>
      <c r="B39" s="19"/>
      <c r="D39" s="71" t="s">
        <v>24</v>
      </c>
      <c r="E39" s="87"/>
      <c r="F39" s="88"/>
      <c r="G39" s="80">
        <f>H42/U_Null+0.0045</f>
        <v>1.1045</v>
      </c>
      <c r="I39" s="69"/>
      <c r="J39" s="69"/>
      <c r="L39" s="70" t="s">
        <v>68</v>
      </c>
      <c r="M39" s="69"/>
      <c r="Q39" s="2"/>
    </row>
    <row r="40" spans="1:17" ht="15">
      <c r="A40" s="19"/>
      <c r="B40" s="19"/>
      <c r="G40" t="s">
        <v>22</v>
      </c>
      <c r="H40" s="41">
        <f>Wert_14</f>
        <v>253.00000000000003</v>
      </c>
      <c r="I40" t="s">
        <v>0</v>
      </c>
      <c r="O40" s="41"/>
      <c r="Q40" s="2"/>
    </row>
    <row r="41" spans="1:15" ht="15">
      <c r="A41" s="19"/>
      <c r="B41" s="19"/>
      <c r="G41" t="s">
        <v>23</v>
      </c>
      <c r="H41" s="41">
        <f>Wert_16</f>
        <v>253.00000000000003</v>
      </c>
      <c r="I41" t="s">
        <v>0</v>
      </c>
      <c r="O41" s="41"/>
    </row>
    <row r="42" spans="1:9" ht="15">
      <c r="A42" s="19"/>
      <c r="B42" s="19"/>
      <c r="G42" t="s">
        <v>24</v>
      </c>
      <c r="H42" s="41">
        <f>Wert_18</f>
        <v>253.00000000000003</v>
      </c>
      <c r="I42" t="s">
        <v>0</v>
      </c>
    </row>
    <row r="43" spans="1:11" ht="15">
      <c r="A43" s="19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3" ht="17.25">
      <c r="A44" s="64" t="s">
        <v>64</v>
      </c>
      <c r="B44" s="19"/>
      <c r="K44" t="s">
        <v>22</v>
      </c>
      <c r="M44" s="75" t="s">
        <v>84</v>
      </c>
    </row>
    <row r="45" spans="1:2" ht="15">
      <c r="A45" s="19"/>
      <c r="B45" s="19"/>
    </row>
    <row r="46" spans="1:13" ht="15">
      <c r="A46" s="19"/>
      <c r="B46" s="19" t="s">
        <v>75</v>
      </c>
      <c r="C46" s="73"/>
      <c r="D46" s="19" t="s">
        <v>3</v>
      </c>
      <c r="E46" s="73">
        <v>1.5</v>
      </c>
      <c r="F46" s="19" t="s">
        <v>2</v>
      </c>
      <c r="G46" s="73" t="s">
        <v>30</v>
      </c>
      <c r="H46" s="19">
        <f>VLOOKUP(G46,Stoffwerte,2,FALSE)</f>
        <v>55.25</v>
      </c>
      <c r="I46" s="19" t="str">
        <f>I34</f>
        <v>m/Ohm/mm²</v>
      </c>
      <c r="J46" s="26">
        <f>IF(ISTEXT(C46),0,C46/E46/H46)</f>
        <v>0</v>
      </c>
      <c r="K46" s="19" t="str">
        <f>K35</f>
        <v>Ohm</v>
      </c>
      <c r="M46" s="74" t="s">
        <v>75</v>
      </c>
    </row>
    <row r="47" spans="1:13" ht="15">
      <c r="A47" s="19"/>
      <c r="B47" s="19" t="s">
        <v>76</v>
      </c>
      <c r="C47" s="73"/>
      <c r="D47" s="19" t="s">
        <v>3</v>
      </c>
      <c r="E47" s="73">
        <v>1.5</v>
      </c>
      <c r="F47" s="19" t="s">
        <v>2</v>
      </c>
      <c r="G47" s="73" t="s">
        <v>30</v>
      </c>
      <c r="H47" s="19">
        <f>VLOOKUP(G47,Stoffwerte,2,FALSE)</f>
        <v>55.25</v>
      </c>
      <c r="I47" s="19" t="str">
        <f>I46</f>
        <v>m/Ohm/mm²</v>
      </c>
      <c r="J47" s="26">
        <f>IF(ISTEXT(C47),0,C47/E47/H47)</f>
        <v>0</v>
      </c>
      <c r="K47" s="19" t="str">
        <f>K46</f>
        <v>Ohm</v>
      </c>
      <c r="M47" s="74" t="s">
        <v>76</v>
      </c>
    </row>
    <row r="48" spans="1:13" ht="15">
      <c r="A48" s="19"/>
      <c r="B48" s="19" t="s">
        <v>77</v>
      </c>
      <c r="C48" s="73"/>
      <c r="D48" s="19" t="s">
        <v>3</v>
      </c>
      <c r="E48" s="73">
        <v>1.5</v>
      </c>
      <c r="F48" s="19" t="s">
        <v>2</v>
      </c>
      <c r="G48" s="73" t="s">
        <v>30</v>
      </c>
      <c r="H48" s="19">
        <f>VLOOKUP(G48,Stoffwerte,2,FALSE)</f>
        <v>55.25</v>
      </c>
      <c r="I48" s="19" t="str">
        <f>I47</f>
        <v>m/Ohm/mm²</v>
      </c>
      <c r="J48" s="26">
        <f>IF(ISTEXT(C48),0,C48/E48/H48)</f>
        <v>0</v>
      </c>
      <c r="K48" s="19" t="str">
        <f>K47</f>
        <v>Ohm</v>
      </c>
      <c r="L48" s="19"/>
      <c r="M48" s="74" t="s">
        <v>77</v>
      </c>
    </row>
    <row r="49" spans="1:11" ht="15">
      <c r="A49" s="19"/>
      <c r="B49" s="19"/>
      <c r="J49" s="26">
        <f>SUM(J46:J48)</f>
        <v>0</v>
      </c>
      <c r="K49" s="19" t="str">
        <f>K48</f>
        <v>Ohm</v>
      </c>
    </row>
    <row r="50" spans="1:7" ht="15">
      <c r="A50" s="19"/>
      <c r="B50" s="19"/>
      <c r="G50" t="s">
        <v>92</v>
      </c>
    </row>
    <row r="51" spans="1:10" ht="17.25">
      <c r="A51" s="64" t="s">
        <v>87</v>
      </c>
      <c r="B51" s="19"/>
      <c r="G51" s="72"/>
      <c r="H51" s="80">
        <f>H52/U_Null+0.0045</f>
        <v>1.1045</v>
      </c>
      <c r="I51" s="89" t="s">
        <v>62</v>
      </c>
      <c r="J51" s="90"/>
    </row>
    <row r="52" spans="1:9" ht="15">
      <c r="A52" s="19"/>
      <c r="B52" s="19"/>
      <c r="G52" t="s">
        <v>22</v>
      </c>
      <c r="H52" s="41">
        <f>Wert_8</f>
        <v>253.00000000000003</v>
      </c>
      <c r="I52" t="s">
        <v>0</v>
      </c>
    </row>
    <row r="53" spans="1:11" ht="15">
      <c r="A53" s="19"/>
      <c r="B53" s="23"/>
      <c r="C53" s="23"/>
      <c r="D53" s="23"/>
      <c r="E53" s="23"/>
      <c r="F53" s="23"/>
      <c r="G53" s="23"/>
      <c r="H53" s="66"/>
      <c r="I53" s="23"/>
      <c r="J53" s="67"/>
      <c r="K53" s="23"/>
    </row>
    <row r="54" spans="1:14" ht="17.25">
      <c r="A54" s="64" t="s">
        <v>65</v>
      </c>
      <c r="B54" s="19"/>
      <c r="K54" t="s">
        <v>23</v>
      </c>
      <c r="N54" s="75" t="s">
        <v>85</v>
      </c>
    </row>
    <row r="55" spans="1:2" ht="15">
      <c r="A55" s="19"/>
      <c r="B55" s="19"/>
    </row>
    <row r="56" spans="1:14" ht="15">
      <c r="A56" s="19"/>
      <c r="B56" s="19" t="s">
        <v>78</v>
      </c>
      <c r="C56" s="73"/>
      <c r="D56" s="19" t="s">
        <v>3</v>
      </c>
      <c r="E56" s="73">
        <v>1.5</v>
      </c>
      <c r="F56" s="19" t="s">
        <v>2</v>
      </c>
      <c r="G56" s="73" t="s">
        <v>30</v>
      </c>
      <c r="H56" s="19">
        <f>VLOOKUP(G56,Stoffwerte,2,FALSE)</f>
        <v>55.25</v>
      </c>
      <c r="I56" s="19" t="str">
        <f>I48</f>
        <v>m/Ohm/mm²</v>
      </c>
      <c r="J56" s="26">
        <f>IF(ISTEXT(C56),0,C56/E56/H56)</f>
        <v>0</v>
      </c>
      <c r="K56" s="19" t="str">
        <f>K49</f>
        <v>Ohm</v>
      </c>
      <c r="N56" s="74" t="s">
        <v>78</v>
      </c>
    </row>
    <row r="57" spans="1:14" ht="15">
      <c r="A57" s="19"/>
      <c r="B57" s="19" t="s">
        <v>79</v>
      </c>
      <c r="C57" s="73"/>
      <c r="D57" s="19" t="s">
        <v>3</v>
      </c>
      <c r="E57" s="73">
        <v>1.5</v>
      </c>
      <c r="F57" s="19" t="s">
        <v>2</v>
      </c>
      <c r="G57" s="73" t="s">
        <v>30</v>
      </c>
      <c r="H57" s="19">
        <f>VLOOKUP(G57,Stoffwerte,2,FALSE)</f>
        <v>55.25</v>
      </c>
      <c r="I57" s="19" t="str">
        <f>I56</f>
        <v>m/Ohm/mm²</v>
      </c>
      <c r="J57" s="26">
        <f>IF(ISTEXT(C57),0,C57/E57/H57)</f>
        <v>0</v>
      </c>
      <c r="K57" s="19" t="str">
        <f>K56</f>
        <v>Ohm</v>
      </c>
      <c r="N57" s="74" t="s">
        <v>79</v>
      </c>
    </row>
    <row r="58" spans="1:14" ht="15">
      <c r="A58" s="19"/>
      <c r="B58" s="19" t="s">
        <v>81</v>
      </c>
      <c r="C58" s="73"/>
      <c r="D58" s="19" t="s">
        <v>3</v>
      </c>
      <c r="E58" s="73">
        <v>1.5</v>
      </c>
      <c r="F58" s="19" t="s">
        <v>2</v>
      </c>
      <c r="G58" s="73" t="s">
        <v>30</v>
      </c>
      <c r="H58" s="19">
        <f>VLOOKUP(G58,Stoffwerte,2,FALSE)</f>
        <v>55.25</v>
      </c>
      <c r="I58" s="19" t="str">
        <f>I57</f>
        <v>m/Ohm/mm²</v>
      </c>
      <c r="J58" s="26">
        <f>IF(ISTEXT(C58),0,C58/E58/H58)</f>
        <v>0</v>
      </c>
      <c r="K58" s="19" t="str">
        <f>K57</f>
        <v>Ohm</v>
      </c>
      <c r="N58" s="74" t="s">
        <v>81</v>
      </c>
    </row>
    <row r="59" spans="1:11" ht="15">
      <c r="A59" s="19"/>
      <c r="B59" s="19"/>
      <c r="J59" s="26">
        <f>SUM(J56:J58)</f>
        <v>0</v>
      </c>
      <c r="K59" s="19" t="str">
        <f>K58</f>
        <v>Ohm</v>
      </c>
    </row>
    <row r="60" spans="1:7" ht="15">
      <c r="A60" s="19"/>
      <c r="B60" s="19"/>
      <c r="G60" t="s">
        <v>92</v>
      </c>
    </row>
    <row r="61" spans="1:10" ht="17.25">
      <c r="A61" s="64" t="s">
        <v>87</v>
      </c>
      <c r="B61" s="19"/>
      <c r="G61" s="72"/>
      <c r="H61" s="80">
        <f>H62/U_Null+0.0045</f>
        <v>1.1045</v>
      </c>
      <c r="I61" s="89" t="s">
        <v>62</v>
      </c>
      <c r="J61" s="90"/>
    </row>
    <row r="62" spans="1:9" ht="15">
      <c r="A62" s="19"/>
      <c r="B62" s="19"/>
      <c r="G62" t="s">
        <v>23</v>
      </c>
      <c r="H62" s="41">
        <f>Wert_10</f>
        <v>253.00000000000003</v>
      </c>
      <c r="I62" t="s">
        <v>0</v>
      </c>
    </row>
    <row r="63" spans="1:11" ht="15">
      <c r="A63" s="19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5" ht="17.25">
      <c r="A64" s="64" t="s">
        <v>66</v>
      </c>
      <c r="B64" s="19"/>
      <c r="K64" t="s">
        <v>23</v>
      </c>
      <c r="O64" s="75" t="s">
        <v>86</v>
      </c>
    </row>
    <row r="65" spans="1:2" ht="15">
      <c r="A65" s="19"/>
      <c r="B65" s="19"/>
    </row>
    <row r="66" spans="1:15" ht="15">
      <c r="A66" s="19"/>
      <c r="B66" s="19" t="s">
        <v>83</v>
      </c>
      <c r="C66" s="73"/>
      <c r="D66" s="19" t="s">
        <v>3</v>
      </c>
      <c r="E66" s="73">
        <v>1.5</v>
      </c>
      <c r="F66" s="19" t="s">
        <v>2</v>
      </c>
      <c r="G66" s="73" t="s">
        <v>30</v>
      </c>
      <c r="H66" s="19">
        <f>VLOOKUP(G66,Stoffwerte,2,FALSE)</f>
        <v>55.25</v>
      </c>
      <c r="I66" s="19" t="str">
        <f>I58</f>
        <v>m/Ohm/mm²</v>
      </c>
      <c r="J66" s="26">
        <f>IF(ISTEXT(C66),0,C66/E66/H66)</f>
        <v>0</v>
      </c>
      <c r="K66" s="19" t="str">
        <f>K59</f>
        <v>Ohm</v>
      </c>
      <c r="O66" s="74" t="s">
        <v>83</v>
      </c>
    </row>
    <row r="67" spans="1:15" ht="15">
      <c r="A67" s="19"/>
      <c r="B67" s="19" t="s">
        <v>82</v>
      </c>
      <c r="C67" s="73"/>
      <c r="D67" s="19" t="s">
        <v>3</v>
      </c>
      <c r="E67" s="73">
        <v>1.5</v>
      </c>
      <c r="F67" s="19" t="s">
        <v>2</v>
      </c>
      <c r="G67" s="73" t="s">
        <v>30</v>
      </c>
      <c r="H67" s="19">
        <f>VLOOKUP(G67,Stoffwerte,2,FALSE)</f>
        <v>55.25</v>
      </c>
      <c r="I67" s="19" t="str">
        <f aca="true" t="shared" si="4" ref="I67:K69">I66</f>
        <v>m/Ohm/mm²</v>
      </c>
      <c r="J67" s="26">
        <f>IF(ISTEXT(C67),0,C67/E67/H67)</f>
        <v>0</v>
      </c>
      <c r="K67" s="19" t="str">
        <f t="shared" si="4"/>
        <v>Ohm</v>
      </c>
      <c r="O67" s="74" t="s">
        <v>82</v>
      </c>
    </row>
    <row r="68" spans="1:15" ht="15">
      <c r="A68" s="19"/>
      <c r="B68" s="19" t="s">
        <v>80</v>
      </c>
      <c r="C68" s="73"/>
      <c r="D68" s="19" t="s">
        <v>3</v>
      </c>
      <c r="E68" s="73">
        <v>1.5</v>
      </c>
      <c r="F68" s="19" t="s">
        <v>2</v>
      </c>
      <c r="G68" s="73" t="s">
        <v>30</v>
      </c>
      <c r="H68" s="19">
        <f>VLOOKUP(G68,Stoffwerte,2,FALSE)</f>
        <v>55.25</v>
      </c>
      <c r="I68" s="19" t="str">
        <f t="shared" si="4"/>
        <v>m/Ohm/mm²</v>
      </c>
      <c r="J68" s="26">
        <f>IF(ISTEXT(C68),0,C68/E68/H68)</f>
        <v>0</v>
      </c>
      <c r="K68" s="19" t="str">
        <f t="shared" si="4"/>
        <v>Ohm</v>
      </c>
      <c r="O68" s="74" t="s">
        <v>80</v>
      </c>
    </row>
    <row r="69" spans="1:11" ht="15">
      <c r="A69" s="19"/>
      <c r="B69" s="19"/>
      <c r="J69" s="26">
        <f>SUM(J66:J68)</f>
        <v>0</v>
      </c>
      <c r="K69" s="19" t="str">
        <f t="shared" si="4"/>
        <v>Ohm</v>
      </c>
    </row>
    <row r="70" spans="1:7" ht="15">
      <c r="A70" s="19"/>
      <c r="B70" s="19"/>
      <c r="G70" t="s">
        <v>92</v>
      </c>
    </row>
    <row r="71" spans="1:10" ht="17.25">
      <c r="A71" s="64" t="s">
        <v>87</v>
      </c>
      <c r="B71" s="19"/>
      <c r="G71" s="72"/>
      <c r="H71" s="80">
        <f>H72/U_Null+0.0045</f>
        <v>1.1045</v>
      </c>
      <c r="I71" s="89" t="s">
        <v>62</v>
      </c>
      <c r="J71" s="90"/>
    </row>
    <row r="72" spans="1:9" ht="15">
      <c r="A72" s="19" t="s">
        <v>96</v>
      </c>
      <c r="B72" s="19"/>
      <c r="G72" t="s">
        <v>24</v>
      </c>
      <c r="H72" s="41">
        <f>Wert_12</f>
        <v>253.00000000000003</v>
      </c>
      <c r="I72" t="s">
        <v>0</v>
      </c>
    </row>
    <row r="73" spans="1:2" ht="15">
      <c r="A73" s="19"/>
      <c r="B73" s="19"/>
    </row>
    <row r="74" spans="1:2" ht="15">
      <c r="A74" s="19"/>
      <c r="B74" s="19"/>
    </row>
    <row r="75" spans="1:2" ht="15">
      <c r="A75" s="19"/>
      <c r="B75" s="19"/>
    </row>
    <row r="76" spans="1:2" ht="15">
      <c r="A76" s="19"/>
      <c r="B76" s="19"/>
    </row>
    <row r="77" spans="1:2" ht="15">
      <c r="A77" s="19"/>
      <c r="B77" s="19"/>
    </row>
    <row r="78" spans="1:2" ht="15">
      <c r="A78" s="19"/>
      <c r="B78" s="19"/>
    </row>
    <row r="79" spans="1:2" ht="15">
      <c r="A79" s="19"/>
      <c r="B79" s="19"/>
    </row>
    <row r="80" spans="1:2" ht="15">
      <c r="A80" s="19"/>
      <c r="B80" s="19"/>
    </row>
  </sheetData>
  <sheetProtection selectLockedCells="1"/>
  <mergeCells count="14">
    <mergeCell ref="L2:N2"/>
    <mergeCell ref="E38:F38"/>
    <mergeCell ref="E39:F39"/>
    <mergeCell ref="E22:F22"/>
    <mergeCell ref="E23:F23"/>
    <mergeCell ref="E24:F24"/>
    <mergeCell ref="E37:F37"/>
    <mergeCell ref="L9:M9"/>
    <mergeCell ref="L16:M16"/>
    <mergeCell ref="L23:M23"/>
    <mergeCell ref="L38:M38"/>
    <mergeCell ref="I71:J71"/>
    <mergeCell ref="I51:J51"/>
    <mergeCell ref="I61:J61"/>
  </mergeCells>
  <conditionalFormatting sqref="B5">
    <cfRule type="expression" priority="1" dxfId="2" stopIfTrue="1">
      <formula>Summe_EEG&gt;35</formula>
    </cfRule>
    <cfRule type="expression" priority="2" dxfId="3" stopIfTrue="1">
      <formula>Summe_EEG&gt;30</formula>
    </cfRule>
  </conditionalFormatting>
  <dataValidations count="4">
    <dataValidation type="list" allowBlank="1" showInputMessage="1" showErrorMessage="1" sqref="G66:G68 G56:G58 G46:G48 G30:G34 G10:G19">
      <formula1>$Q$2:$Q$3</formula1>
    </dataValidation>
    <dataValidation type="list" allowBlank="1" showInputMessage="1" showErrorMessage="1" sqref="E10:E19 E66:E68 E56:E58 E46:E48 E30:E34">
      <formula1>$R$1:$R$16</formula1>
    </dataValidation>
    <dataValidation type="decimal" allowBlank="1" showInputMessage="1" showErrorMessage="1" errorTitle="Ups" error="Bitte eine Zahl zwischen 0 und 40 eingeben." sqref="H23 H38 G71 G61 G51">
      <formula1>0</formula1>
      <formula2>40</formula2>
    </dataValidation>
    <dataValidation type="decimal" allowBlank="1" showInputMessage="1" showErrorMessage="1" promptTitle="Zahlen von 0 bis 30 möglich." errorTitle="Ups" error="Bitte eine Zahl von 0 bis 40 eigeben!" sqref="E37:F39 E22:F24">
      <formula1>0</formula1>
      <formula2>40</formula2>
    </dataValidation>
  </dataValidations>
  <printOptions/>
  <pageMargins left="0.76" right="0.23" top="0.49" bottom="0.57" header="0.34" footer="0.492125984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 Ellwangen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Martin</dc:creator>
  <cp:keywords/>
  <dc:description/>
  <cp:lastModifiedBy>Holz, Ann-Kathrin NGO</cp:lastModifiedBy>
  <cp:lastPrinted>2011-06-16T09:39:56Z</cp:lastPrinted>
  <dcterms:created xsi:type="dcterms:W3CDTF">2011-05-31T13:04:35Z</dcterms:created>
  <dcterms:modified xsi:type="dcterms:W3CDTF">2021-09-27T13:36:29Z</dcterms:modified>
  <cp:category/>
  <cp:version/>
  <cp:contentType/>
  <cp:contentStatus/>
</cp:coreProperties>
</file>